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720" windowHeight="11775" activeTab="0"/>
  </bookViews>
  <sheets>
    <sheet name="ЗАТО Видяево 2015" sheetId="1" r:id="rId1"/>
    <sheet name="ЗАТО Видяево 2016-2017" sheetId="2" r:id="rId2"/>
  </sheets>
  <definedNames>
    <definedName name="_xlnm.Print_Titles" localSheetId="0">'ЗАТО Видяево 2015'!$10:$10</definedName>
    <definedName name="_xlnm.Print_Titles" localSheetId="1">'ЗАТО Видяево 2016-2017'!$10:$11</definedName>
    <definedName name="_xlnm.Print_Area" localSheetId="0">'ЗАТО Видяево 2015'!$A$1:$D$139</definedName>
    <definedName name="_xlnm.Print_Area" localSheetId="1">'ЗАТО Видяево 2016-2017'!$A$1:$G$105</definedName>
  </definedNames>
  <calcPr fullCalcOnLoad="1"/>
</workbook>
</file>

<file path=xl/sharedStrings.xml><?xml version="1.0" encoding="utf-8"?>
<sst xmlns="http://schemas.openxmlformats.org/spreadsheetml/2006/main" count="458" uniqueCount="262">
  <si>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</si>
  <si>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</si>
  <si>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</si>
  <si>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</si>
  <si>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000 1 11 05034 04 0000 120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</si>
  <si>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</si>
  <si>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</si>
  <si>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000 1 17 05040 04 0000 180</t>
  </si>
  <si>
    <t>000 1 05 02000 02 0000 110</t>
  </si>
  <si>
    <t>Прочие поступления от денежных взысканий (штрафов) и иных сумм в возмещение ущерба</t>
  </si>
  <si>
    <t>000 1 16 90000 00 0000 140</t>
  </si>
  <si>
    <t>НАЛОГОВЫЕ ДОХОДЫ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</si>
  <si>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</si>
  <si>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</si>
  <si>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</si>
  <si>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</si>
  <si>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</si>
  <si>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</si>
  <si>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</si>
  <si>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000 2 02 04025 04 0000 151</t>
  </si>
  <si>
    <t>000 2 02 01007 04 0000 151</t>
  </si>
  <si>
    <t>000 2 02 01001 04 0000 151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</si>
  <si>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</si>
  <si>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</si>
  <si>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000 2 02 01007 00 0000 151</t>
  </si>
  <si>
    <t>Дотации на выравнивание бюджетной обеспеченности</t>
  </si>
  <si>
    <t>000 2 02 01001 00 0000 151</t>
  </si>
  <si>
    <t>Прочие субсидии</t>
  </si>
  <si>
    <t>000 2 02 02999 00 0000 151</t>
  </si>
  <si>
    <t>000 2 02 02999 04 0000 151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</si>
  <si>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</si>
  <si>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</si>
  <si>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</si>
  <si>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</si>
  <si>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</si>
  <si>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000 2 02 03015 04 0000 151</t>
  </si>
  <si>
    <t>Прочие субвенции</t>
  </si>
  <si>
    <t>000 2 02 03999 00 0000 151</t>
  </si>
  <si>
    <t>000 2 02 03999 04 0000 151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</si>
  <si>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</si>
  <si>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</si>
  <si>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Дотации бюджетам на предоставление дотаций бюджетам закрытых административно-территориальных образований</t>
  </si>
  <si>
    <t xml:space="preserve">Дотации бюджетам закрытых административно-территориальных образований </t>
  </si>
  <si>
    <t xml:space="preserve">Прочие субвенции бюджетам городских округов </t>
  </si>
  <si>
    <t>Прочие неналоговые доходы бюджетов городских округов</t>
  </si>
  <si>
    <t>000 1 00 00000 00 0000 000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</si>
  <si>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</si>
  <si>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</si>
  <si>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</si>
  <si>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</si>
  <si>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000 2 02 04000 00 0000 151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</si>
  <si>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</si>
  <si>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</si>
  <si>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</si>
  <si>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Прочие неналоговые доходы</t>
  </si>
  <si>
    <t>ВСЕГО ДОХОДОВ</t>
  </si>
  <si>
    <t xml:space="preserve">Сумма       </t>
  </si>
  <si>
    <t>Плата за негативное воздействие на окружающую среду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</si>
  <si>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</si>
  <si>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</si>
  <si>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</si>
  <si>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</si>
  <si>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</si>
  <si>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</si>
  <si>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</si>
  <si>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</si>
  <si>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</si>
  <si>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</si>
  <si>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</si>
  <si>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</si>
  <si>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</si>
  <si>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</si>
  <si>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</si>
  <si>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</si>
  <si>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</si>
  <si>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000 2 02 01000 00 0000 151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</si>
  <si>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</si>
  <si>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</si>
  <si>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</si>
  <si>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</si>
  <si>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</si>
  <si>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</si>
  <si>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</si>
  <si>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Доходы, получаемые в  виде  арендной  либо  иной   платы  за  передачу  в  возмездное   пользование 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числе казенных)</t>
  </si>
  <si>
    <t>Субвенции бюджетам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государтвенных полномочий по сбору сведений для формирования и ведения торгового реестра</t>
  </si>
  <si>
    <t>Прочие субвенции бюджетам городских округов (на обеспечение бесплатным питанием отдельных категорий обучающихся)</t>
  </si>
  <si>
    <t>000 1 01 02010 01 0000 110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</si>
  <si>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</si>
  <si>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</si>
  <si>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000 1 05 01000 00 0000 110</t>
  </si>
  <si>
    <t>000 1 05 01010 01 0000 110</t>
  </si>
  <si>
    <t xml:space="preserve">Налог, взимаемый в связи  с  применением патентной системы налогообложения
</t>
  </si>
  <si>
    <t xml:space="preserve">Налог, взимаемый в связи  с  применением патентной    системы    налогообложения, зачисляемый в бюджеты городских округов
</t>
  </si>
  <si>
    <t>000 1 05 04000 02 0000 110</t>
  </si>
  <si>
    <t>000 1 05 04010 02 0000 110</t>
  </si>
  <si>
    <t>Налог  на  доходы  физических  лиц  с   доходов, источником которых является налоговый агент,  за 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</si>
  <si>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 xml:space="preserve">000 1 01 02030 01 0000 110   </t>
  </si>
  <si>
    <t>Налог  на  доходы   физических   лиц   с  доходов, полученных физическими лицами в соответствии со статьей  228  Налогового Кодекса Российской Федерации</t>
  </si>
  <si>
    <t>Налог, взимаемый  с  налогоплательщиков, выбравших  в  качестве объекта алогообложения доходы</t>
  </si>
  <si>
    <t>000 1 05 01011 01 0000 110</t>
  </si>
  <si>
    <t>000 1 05 01020 01 0000 110</t>
  </si>
  <si>
    <t>000 1 05 01021 01 0000 110</t>
  </si>
  <si>
    <t>Налог, взимаемый  с  налогоплательщиков,  выбравших  в  качестве  объекта налогообложения доходы,  уменьшенные  на величину расходов</t>
  </si>
  <si>
    <t>Налог, взимаемый  с  налогоплательщиков, выбравших в качестве объекта налогообложения доходы,  уменьшенные  на величину расходов</t>
  </si>
  <si>
    <t>000 1 11 09000 00 0000 120</t>
  </si>
  <si>
    <t>Прочие доходы от использования имущества и прав, находящихся в государственной  и муниципальной     собственности      (за исключением   имущества   бюджетных    и автономных учреждений, а также имущества государственных     и      муниципальных унитарных  предприятий,  в   том   числе казенных)</t>
  </si>
  <si>
    <t>Прочие  поступления   от   использования имущества,  находящегося  в государственной     и      муниципальной собственности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</t>
  </si>
  <si>
    <t>000 1 11 09040 00 0000 120</t>
  </si>
  <si>
    <t>000 1 11 09044 04 0000 120</t>
  </si>
  <si>
    <t>Прочие  поступления   от   использования имущества, находящегося в  собственности городских   округов   (за    исключением имущества  муниципальных   бюджетных   и автономных учреждений, а также имущества муниципальных унитарных  предприятий,  в том числе казенных)</t>
  </si>
  <si>
    <t>000 1 03 02260 01 0000 110</t>
  </si>
  <si>
    <t>000 1 03 02250 01 0000 110</t>
  </si>
  <si>
    <t>000 1 03 02240 01 0000 110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</si>
  <si>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</si>
  <si>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</si>
  <si>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</si>
  <si>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</si>
  <si>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</si>
  <si>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Земельный налог</t>
  </si>
  <si>
    <t>000 1 06 06000 00 0000 110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</si>
  <si>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</si>
  <si>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000 1 06 01020 04 0000 110 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</si>
  <si>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</si>
  <si>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</si>
  <si>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</si>
  <si>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</si>
  <si>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</si>
  <si>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Прочие субсидии бюджетам городских округов(на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</si>
  <si>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Субвенции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</si>
  <si>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Субвенции бюджетам городских округов на предоставление мер социальной поддержки по оплате жилогопомещения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</si>
  <si>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Прочие субсидии бюджетам муниципальных образований в рамках государственной программы "Развитие образования " на 2014 год ( на организацию отдыха детей МО в оздоровительных учреждениях с дневным пребыванием, организованных на базе муниципальных учреждений)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</si>
  <si>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муниципальных дошкольных образовательных организаций")</t>
  </si>
  <si>
    <t>Прочие субсидии бюджетам городских округов (на обеспечение бесплатным цельным молоком либо питьевым молоком обучающихся 1-4 классов общеобразовательных учреждений, мунобразовательных образовательных учреждений для детей дошкольного и младшего школьного возраста)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</si>
  <si>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</si>
  <si>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Дотации на выравнивание бюджетной обеспеченности поселений из регионального фонда финансовой подддержки</t>
  </si>
  <si>
    <t xml:space="preserve"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</si>
  <si>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</si>
  <si>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</si>
  <si>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 (на реализацию ЗМО "Об административных комиссиях")</t>
  </si>
  <si>
    <t>Прочие субвенции бюджетам городских округов (на реализ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граждан")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</si>
  <si>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в Мурманской области")</t>
  </si>
  <si>
    <t>Субвенции бюджетам городских округов на (реализацию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патронат)</t>
  </si>
  <si>
    <t>Прочие субвенции бюджетам городских округов (на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несовершеннолетних")</t>
  </si>
  <si>
    <t>Прочие субвенции бюджетам городских округов на реализацию ЗМО "О физической культуре и спорте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</si>
  <si>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</si>
  <si>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</si>
  <si>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рублей</t>
  </si>
  <si>
    <t>Прочие субсидии бюджетам городских округов на создание и развитие сети МФЦ предоставления государственных и муниципальных услуг</t>
  </si>
  <si>
    <t>%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</si>
  <si>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</si>
  <si>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</si>
  <si>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Сумма</t>
  </si>
  <si>
    <t xml:space="preserve"> Приложение 3.1</t>
  </si>
  <si>
    <t xml:space="preserve"> Приложение 3</t>
  </si>
  <si>
    <t>Плата за размещение отходов производства и потребления</t>
  </si>
  <si>
    <t>БЕЗВОЗМЕЗДНЫЕ  ПОСТУПЛЕНИЯ</t>
  </si>
  <si>
    <t>ДОХОДЫ ОТ ОКАЗАНИЯ ПЛАТНЫХ УСЛУГ (РАБОТ) И КОМПЕНСАЦИИ ЗАТРАТ ГОСУДАРСТВА</t>
  </si>
  <si>
    <t>000 1 13 00000 00 0000 000</t>
  </si>
  <si>
    <t>000 1 13 02994 04 0000 130</t>
  </si>
  <si>
    <t>Прочие доходы от компенсации затрат бюджетов городских округов</t>
  </si>
  <si>
    <t>Прочие доходы от компенсации затрат государства</t>
  </si>
  <si>
    <t>000 1 13 02990 00 0000 130</t>
  </si>
  <si>
    <t>Доходы от компенсации затрат государства</t>
  </si>
  <si>
    <t>000 1 13 02000 00 0000 130</t>
  </si>
  <si>
    <t>Субсидия муниципальным районам (городским округам) на приобретение и установку спортивных площадок</t>
  </si>
  <si>
    <t xml:space="preserve">000 2 02 03007 04 0000 151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</si>
  <si>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</si>
  <si>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</si>
  <si>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Объем поступлений доходов в бюджет ЗАТО Видяево на 2015 год</t>
  </si>
  <si>
    <t>Налог, взимаемый  с  налогоплательщиков, выбравших  в  качестве объекта налогообложения доходы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</si>
  <si>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</si>
  <si>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</si>
  <si>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</si>
  <si>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</si>
  <si>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</si>
  <si>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</si>
  <si>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</si>
  <si>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</si>
  <si>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</si>
  <si>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</si>
  <si>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</si>
  <si>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</si>
  <si>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Объем поступлений доходов в бюджет ЗАТО Видяево на плановый период 2016 и 2017 годов</t>
  </si>
  <si>
    <t xml:space="preserve"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
</t>
  </si>
  <si>
    <t>000 2 02 04061 00 0000 151</t>
  </si>
  <si>
    <t>000 2 02 04061 04 0000 151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</si>
  <si>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</si>
  <si>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>Межбюджетные трансферты</t>
  </si>
  <si>
    <t xml:space="preserve"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
</t>
  </si>
  <si>
    <t xml:space="preserve">ДОХОДЫ ОТ ПРОДАЖИ МАТЕРИАЛЬНЫХ И НЕМАТЕРИАЛЬНЫХ АКТИВОВ
</t>
  </si>
  <si>
    <t xml:space="preserve">000 1 14 00000 00 0000 000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</si>
  <si>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</si>
  <si>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</si>
  <si>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000 1 14 02000 00 0000 000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</si>
  <si>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</si>
  <si>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000 1 14 02040 04 0000 410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</si>
  <si>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</si>
  <si>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</si>
  <si>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</si>
  <si>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</si>
  <si>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 на  доходы  физических  лиц  с   доходов, полученных   от    осуществления    деятельности физическими   лицами,  зарегистрированными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</si>
  <si>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 xml:space="preserve"> 000 1 06 06032 04 0000 110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</si>
  <si>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</si>
  <si>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</si>
  <si>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000 1 06 06030 03 0000 110</t>
  </si>
  <si>
    <t>О внесении изменений в решение Совета депутатов ЗАТО Видяево от  18.12.2014 №  251                                                                                                                                                «Об утверждении бюджета ЗАТО Видяево
на 2015 год и на плановый период 2016 и 2017 годов»</t>
  </si>
  <si>
    <t>О внесении изменений в решение Совета депутатов ЗАТО Видяево от 18.12.2014 №  251                                                                                                                    «Об утверждении бюджета ЗАТО Видяево
на 2015 год и на плановый период 2016 и 2017 годов»</t>
  </si>
  <si>
    <t xml:space="preserve">000 1 14 02043 04 0000 410
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</si>
  <si>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</si>
  <si>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</si>
  <si>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000 1 06 06042 04 0000 110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</si>
  <si>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</si>
  <si>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</si>
  <si>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физических лиц</t>
  </si>
  <si>
    <t>000 1 12 01010 01 0000 120</t>
  </si>
  <si>
    <t>Плата за выбросы загрязняющих веществ в атмосферный воздух стационарными объектами</t>
  </si>
  <si>
    <t xml:space="preserve">000 1 12 01020 01 0000 120 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</si>
  <si>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</si>
  <si>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</si>
  <si>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 xml:space="preserve">000 1 12 01030 01 0000 120 </t>
  </si>
  <si>
    <t xml:space="preserve">000 1 12 01040 01 0000 120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</si>
  <si>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</si>
  <si>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</si>
  <si>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</si>
  <si>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</si>
  <si>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000 1 16 43000 01 0000 140
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</si>
  <si>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</si>
  <si>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миграционного законодательства Российской Федерации</t>
  </si>
  <si>
    <t xml:space="preserve">000 1 16 40000 01 0000 140
 </t>
  </si>
  <si>
    <t>000 2 02 03027 00 0000 151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</si>
  <si>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
</t>
  </si>
  <si>
    <t xml:space="preserve">Субвенции бюджетам на содержание ребенка в семье опекуна и приемной семье, а также вознаграждение, причитающееся приемному родителю
</t>
  </si>
  <si>
    <t>000 2 02 03027 04 0000 151</t>
  </si>
  <si>
    <t>000 2 02 03029 04 0000 151</t>
  </si>
  <si>
    <t>000 2 02 03029 00 0000 151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</si>
  <si>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</si>
  <si>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</si>
  <si>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r>
      <t>от ________________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№______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</si>
  <si>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</si>
  <si>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r>
      <t>от</t>
    </r>
    <r>
      <rPr>
        <sz val="8"/>
        <rFont val="Times New Roman"/>
        <family val="1"/>
      </rPr>
      <t xml:space="preserve"> </t>
    </r>
    <r>
      <rPr>
        <u val="single"/>
        <sz val="8"/>
        <rFont val="Times New Roman"/>
        <family val="1"/>
      </rPr>
      <t xml:space="preserve"> ________________  №_______</t>
    </r>
  </si>
  <si>
    <t>Субсидия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</si>
  <si>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</si>
  <si>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</si>
  <si>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000 2 02 02051 04 0000 151</t>
  </si>
  <si>
    <t>000 2 02 02000 00 0000 151</t>
  </si>
  <si>
    <t>000 2 02 02051 00 0000 151</t>
  </si>
  <si>
    <t>Субсидии бюджетам на реализацию федеральных целевых программ</t>
  </si>
  <si>
    <t>Субсидии бюджетам бюджетной системы Российской Федерации (межбюджетные субсидии)</t>
  </si>
  <si>
    <t xml:space="preserve"> </t>
  </si>
  <si>
    <t>Прочие субсидии бюджетам городских округов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</si>
  <si>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Субвенции бюджетам городских округов на 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</si>
  <si>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Субвенции бюджетам городских округов на содержание ребенка в семье опекуна(попечителя) и приемной семье, а также вознаграждение, причитающееся приемному родителю
</t>
  </si>
  <si>
    <t xml:space="preserve">Субвенции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находящимся в их ведении)
</t>
  </si>
  <si>
    <t>Прочие субвенции бюджетам городских округов на реализацию ЗМО "О региональных нормативах финансового обеспечения образовательной деятельности в Мурманской области"</t>
  </si>
  <si>
    <t>Прочие субвенции бюджетам городских округов на реализацию ЗМО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</si>
  <si>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Прочие субвенции бюджетам городских округов на обеспечение бесплатным питанием отдельных категорий обучающихся</t>
  </si>
  <si>
    <t>Субвенции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находящимся в их ведении)</t>
  </si>
  <si>
    <t>к проекту решения Совета депутатов ЗАТО Видяево</t>
  </si>
  <si>
    <t>000 1 16 18040 04 0000 140</t>
  </si>
  <si>
    <t>Денежные взыскания (штрафы) за нарушение бюджетного законодательства (в части бюджетов городских округов</t>
  </si>
  <si>
    <t xml:space="preserve">
000 1 16 23041 04 0000 140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</si>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</sst>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00"/>
    <numFmt numFmtId="167" formatCode="0.00000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i/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0"/>
      <color indexed="12"/>
      <name val="Arial Cyr"/>
      <family val="0"/>
    </font>
    <font>
      <b/>
      <i/>
      <sz val="7"/>
      <color indexed="12"/>
      <name val="Arial Cyr"/>
      <family val="0"/>
    </font>
    <font>
      <b/>
      <i/>
      <sz val="10"/>
      <color indexed="12"/>
      <name val="Arial Cyr"/>
      <family val="0"/>
    </font>
    <font>
      <sz val="10"/>
      <color indexed="8"/>
      <name val="Times New Roman"/>
      <family val="1"/>
    </font>
    <font>
      <i/>
      <sz val="7"/>
      <name val="Times New Roman"/>
      <family val="1"/>
    </font>
    <font>
      <u val="single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0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/>
    </xf>
    <xf numFmtId="3" fontId="15" fillId="32" borderId="0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5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4" fontId="18" fillId="0" borderId="12" xfId="0" applyNumberFormat="1" applyFont="1" applyFill="1" applyBorder="1" applyAlignment="1">
      <alignment/>
    </xf>
    <xf numFmtId="4" fontId="16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5" fillId="0" borderId="14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64" fontId="21" fillId="0" borderId="14" xfId="0" applyNumberFormat="1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4" fontId="20" fillId="0" borderId="16" xfId="0" applyNumberFormat="1" applyFont="1" applyFill="1" applyBorder="1" applyAlignment="1">
      <alignment/>
    </xf>
    <xf numFmtId="0" fontId="24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2" fontId="9" fillId="0" borderId="0" xfId="0" applyNumberFormat="1" applyFont="1" applyFill="1" applyAlignment="1">
      <alignment/>
    </xf>
    <xf numFmtId="4" fontId="16" fillId="0" borderId="16" xfId="0" applyNumberFormat="1" applyFont="1" applyFill="1" applyBorder="1" applyAlignment="1">
      <alignment/>
    </xf>
    <xf numFmtId="0" fontId="8" fillId="32" borderId="17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wrapText="1"/>
    </xf>
    <xf numFmtId="4" fontId="5" fillId="32" borderId="12" xfId="0" applyNumberFormat="1" applyFont="1" applyFill="1" applyBorder="1" applyAlignment="1">
      <alignment horizontal="center"/>
    </xf>
    <xf numFmtId="0" fontId="25" fillId="32" borderId="12" xfId="0" applyFont="1" applyFill="1" applyBorder="1" applyAlignment="1">
      <alignment horizontal="center" wrapText="1"/>
    </xf>
    <xf numFmtId="4" fontId="8" fillId="32" borderId="12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5" fillId="32" borderId="1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3" fontId="15" fillId="32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/>
    </xf>
    <xf numFmtId="0" fontId="8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NumberFormat="1" applyFont="1" applyFill="1" applyBorder="1" applyAlignment="1">
      <alignment horizontal="left" vertical="center" wrapText="1"/>
    </xf>
    <xf numFmtId="4" fontId="8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4" fontId="18" fillId="0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/>
    </xf>
    <xf numFmtId="0" fontId="0" fillId="32" borderId="0" xfId="0" applyFill="1" applyAlignment="1">
      <alignment horizontal="center"/>
    </xf>
    <xf numFmtId="4" fontId="0" fillId="32" borderId="0" xfId="0" applyNumberFormat="1" applyFill="1" applyAlignment="1">
      <alignment horizontal="center"/>
    </xf>
    <xf numFmtId="0" fontId="12" fillId="32" borderId="0" xfId="0" applyFont="1" applyFill="1" applyAlignment="1">
      <alignment horizontal="center" wrapText="1"/>
    </xf>
    <xf numFmtId="0" fontId="26" fillId="32" borderId="18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164" fontId="5" fillId="32" borderId="12" xfId="0" applyNumberFormat="1" applyFont="1" applyFill="1" applyBorder="1" applyAlignment="1">
      <alignment horizontal="center"/>
    </xf>
    <xf numFmtId="4" fontId="9" fillId="32" borderId="0" xfId="0" applyNumberFormat="1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0" fontId="13" fillId="32" borderId="0" xfId="0" applyFont="1" applyFill="1" applyBorder="1" applyAlignment="1">
      <alignment horizontal="center" wrapText="1"/>
    </xf>
    <xf numFmtId="4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4" fontId="10" fillId="32" borderId="0" xfId="0" applyNumberFormat="1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right"/>
    </xf>
    <xf numFmtId="0" fontId="3" fillId="32" borderId="20" xfId="0" applyFont="1" applyFill="1" applyBorder="1" applyAlignment="1">
      <alignment horizontal="center" wrapText="1"/>
    </xf>
    <xf numFmtId="0" fontId="8" fillId="32" borderId="2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164" fontId="5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4" fontId="0" fillId="0" borderId="22" xfId="0" applyNumberFormat="1" applyFill="1" applyBorder="1" applyAlignment="1">
      <alignment/>
    </xf>
    <xf numFmtId="4" fontId="0" fillId="32" borderId="0" xfId="0" applyNumberFormat="1" applyFont="1" applyFill="1" applyAlignment="1">
      <alignment/>
    </xf>
    <xf numFmtId="0" fontId="5" fillId="32" borderId="12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2" fontId="5" fillId="32" borderId="1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67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4" fontId="8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8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1" fillId="32" borderId="12" xfId="0" applyFont="1" applyFill="1" applyBorder="1" applyAlignment="1">
      <alignment horizontal="center" wrapText="1"/>
    </xf>
    <xf numFmtId="0" fontId="8" fillId="32" borderId="12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4" fontId="8" fillId="32" borderId="12" xfId="0" applyNumberFormat="1" applyFont="1" applyFill="1" applyBorder="1" applyAlignment="1">
      <alignment horizontal="left" vertical="top" wrapText="1"/>
    </xf>
    <xf numFmtId="4" fontId="8" fillId="32" borderId="12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8" fillId="32" borderId="12" xfId="0" applyNumberFormat="1" applyFont="1" applyFill="1" applyBorder="1" applyAlignment="1">
      <alignment wrapText="1"/>
    </xf>
    <xf numFmtId="2" fontId="5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/>
    </xf>
    <xf numFmtId="0" fontId="5" fillId="32" borderId="19" xfId="0" applyFont="1" applyFill="1" applyBorder="1" applyAlignment="1">
      <alignment wrapText="1"/>
    </xf>
    <xf numFmtId="0" fontId="8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26" fillId="0" borderId="19" xfId="0" applyFont="1" applyFill="1" applyBorder="1" applyAlignment="1">
      <alignment horizontal="center" wrapText="1"/>
    </xf>
    <xf numFmtId="4" fontId="3" fillId="32" borderId="19" xfId="0" applyNumberFormat="1" applyFont="1" applyFill="1" applyBorder="1" applyAlignment="1">
      <alignment horizontal="center"/>
    </xf>
    <xf numFmtId="0" fontId="26" fillId="32" borderId="19" xfId="0" applyFont="1" applyFill="1" applyBorder="1" applyAlignment="1">
      <alignment horizontal="center" wrapText="1"/>
    </xf>
    <xf numFmtId="4" fontId="0" fillId="0" borderId="16" xfId="0" applyNumberForma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16" fillId="0" borderId="0" xfId="0" applyFont="1" applyAlignment="1">
      <alignment/>
    </xf>
    <xf numFmtId="4" fontId="8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wrapText="1"/>
    </xf>
    <xf numFmtId="0" fontId="5" fillId="34" borderId="12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wrapText="1"/>
    </xf>
    <xf numFmtId="0" fontId="8" fillId="34" borderId="12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/>
    </xf>
    <xf numFmtId="4" fontId="5" fillId="32" borderId="0" xfId="0" applyNumberFormat="1" applyFont="1" applyFill="1" applyBorder="1" applyAlignment="1">
      <alignment horizontal="center"/>
    </xf>
    <xf numFmtId="4" fontId="8" fillId="34" borderId="23" xfId="0" applyNumberFormat="1" applyFont="1" applyFill="1" applyBorder="1" applyAlignment="1">
      <alignment horizontal="center"/>
    </xf>
    <xf numFmtId="0" fontId="62" fillId="0" borderId="0" xfId="0" applyFont="1" applyFill="1" applyAlignment="1">
      <alignment/>
    </xf>
    <xf numFmtId="4" fontId="8" fillId="32" borderId="16" xfId="0" applyNumberFormat="1" applyFont="1" applyFill="1" applyBorder="1" applyAlignment="1">
      <alignment horizontal="center"/>
    </xf>
    <xf numFmtId="4" fontId="8" fillId="32" borderId="0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7" fillId="32" borderId="0" xfId="0" applyFont="1" applyFill="1" applyAlignment="1">
      <alignment horizontal="right"/>
    </xf>
    <xf numFmtId="0" fontId="15" fillId="32" borderId="0" xfId="0" applyFont="1" applyFill="1" applyAlignment="1">
      <alignment horizontal="right"/>
    </xf>
    <xf numFmtId="3" fontId="15" fillId="32" borderId="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32" borderId="0" xfId="0" applyFill="1" applyAlignment="1">
      <alignment horizontal="right"/>
    </xf>
    <xf numFmtId="0" fontId="8" fillId="32" borderId="24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1"/>
  <sheetViews>
    <sheetView tabSelected="1" view="pageBreakPreview" zoomScaleSheetLayoutView="100" zoomScalePageLayoutView="0" workbookViewId="0" topLeftCell="A1">
      <selection activeCell="J1" sqref="J1:J16384"/>
    </sheetView>
  </sheetViews>
  <sheetFormatPr defaultColWidth="9.00390625" defaultRowHeight="12.75"/>
  <cols>
    <col min="1" max="1" width="66.00390625" style="41" customWidth="1"/>
    <col min="2" max="2" width="28.125" style="122" customWidth="1"/>
    <col min="3" max="3" width="18.375" style="123" customWidth="1"/>
    <col min="4" max="4" width="7.25390625" style="10" hidden="1" customWidth="1"/>
    <col min="5" max="5" width="17.875" style="21" hidden="1" customWidth="1"/>
    <col min="6" max="6" width="15.125" style="2" hidden="1" customWidth="1"/>
    <col min="7" max="8" width="9.125" style="2" hidden="1" customWidth="1"/>
    <col min="9" max="9" width="14.375" style="21" hidden="1" customWidth="1"/>
    <col min="10" max="10" width="14.625" style="21" customWidth="1"/>
    <col min="11" max="11" width="15.125" style="2" customWidth="1"/>
    <col min="12" max="29" width="9.125" style="2" customWidth="1"/>
  </cols>
  <sheetData>
    <row r="1" spans="1:3" ht="12.75">
      <c r="A1" s="26" t="s">
        <v>248</v>
      </c>
      <c r="B1" s="183" t="s">
        <v>153</v>
      </c>
      <c r="C1" s="183"/>
    </row>
    <row r="2" spans="1:6" ht="12.75" customHeight="1">
      <c r="A2" s="188" t="s">
        <v>257</v>
      </c>
      <c r="B2" s="188"/>
      <c r="C2" s="188"/>
      <c r="D2" s="188"/>
      <c r="E2" s="188"/>
      <c r="F2" s="188"/>
    </row>
    <row r="3" spans="1:6" ht="36.75" customHeight="1">
      <c r="A3" s="189" t="s">
        <v>205</v>
      </c>
      <c r="B3" s="189"/>
      <c r="C3" s="189"/>
      <c r="D3" s="189"/>
      <c r="E3" s="189"/>
      <c r="F3" s="189"/>
    </row>
    <row r="4" spans="2:5" ht="12.75">
      <c r="B4" s="185" t="s">
        <v>239</v>
      </c>
      <c r="C4" s="186"/>
      <c r="D4" s="25"/>
      <c r="E4" s="25"/>
    </row>
    <row r="5" spans="1:5" ht="12.75">
      <c r="A5" s="27"/>
      <c r="B5" s="187"/>
      <c r="C5" s="187"/>
      <c r="D5" s="15"/>
      <c r="E5" s="15"/>
    </row>
    <row r="6" spans="1:3" ht="12.75">
      <c r="A6" s="28"/>
      <c r="B6" s="111"/>
      <c r="C6" s="111"/>
    </row>
    <row r="7" spans="1:3" ht="18.75">
      <c r="A7" s="184" t="s">
        <v>168</v>
      </c>
      <c r="B7" s="184"/>
      <c r="C7" s="184"/>
    </row>
    <row r="8" spans="1:3" ht="14.25">
      <c r="A8" s="28"/>
      <c r="B8" s="112"/>
      <c r="C8" s="113"/>
    </row>
    <row r="9" spans="1:3" ht="16.5" thickBot="1">
      <c r="A9" s="28"/>
      <c r="B9" s="114"/>
      <c r="C9" s="115" t="s">
        <v>146</v>
      </c>
    </row>
    <row r="10" spans="1:6" ht="26.25" thickBot="1">
      <c r="A10" s="62" t="s">
        <v>52</v>
      </c>
      <c r="B10" s="116" t="s">
        <v>51</v>
      </c>
      <c r="C10" s="117" t="s">
        <v>56</v>
      </c>
      <c r="E10" s="30"/>
      <c r="F10" s="30"/>
    </row>
    <row r="11" spans="1:10" ht="15.75">
      <c r="A11" s="158" t="s">
        <v>78</v>
      </c>
      <c r="B11" s="159"/>
      <c r="C11" s="160"/>
      <c r="E11" s="30"/>
      <c r="F11" s="30"/>
      <c r="J11" s="2"/>
    </row>
    <row r="12" spans="1:9" s="2" customFormat="1" ht="15.75">
      <c r="A12" s="69" t="s">
        <v>15</v>
      </c>
      <c r="B12" s="118" t="s">
        <v>45</v>
      </c>
      <c r="C12" s="73">
        <f>C13+C47</f>
        <v>135083745</v>
      </c>
      <c r="D12" s="43" t="e">
        <f>D14+D25+D44+D47</f>
        <v>#REF!</v>
      </c>
      <c r="E12" s="31" t="e">
        <f>E14+E25+E44+E47</f>
        <v>#REF!</v>
      </c>
      <c r="F12" s="31" t="e">
        <f>F14+F25+F44+F47</f>
        <v>#REF!</v>
      </c>
      <c r="I12" s="21"/>
    </row>
    <row r="13" spans="1:9" s="2" customFormat="1" ht="15.75">
      <c r="A13" s="69" t="s">
        <v>11</v>
      </c>
      <c r="B13" s="118"/>
      <c r="C13" s="73">
        <f>C14+C25+C44+C19+C36</f>
        <v>129317414</v>
      </c>
      <c r="D13" s="43">
        <f>D14+D25+D44</f>
        <v>281</v>
      </c>
      <c r="E13" s="31">
        <f>E14+E25+E44</f>
        <v>92074.2</v>
      </c>
      <c r="F13" s="31">
        <f>F14+F25+F44</f>
        <v>92626.5</v>
      </c>
      <c r="I13" s="21"/>
    </row>
    <row r="14" spans="1:10" ht="15.75">
      <c r="A14" s="85" t="s">
        <v>58</v>
      </c>
      <c r="B14" s="118" t="s">
        <v>59</v>
      </c>
      <c r="C14" s="66">
        <f>C15</f>
        <v>123815839</v>
      </c>
      <c r="D14" s="44">
        <f>D15</f>
        <v>0</v>
      </c>
      <c r="E14" s="32">
        <f>E15</f>
        <v>89242</v>
      </c>
      <c r="F14" s="32">
        <f>F15</f>
        <v>89778</v>
      </c>
      <c r="J14" s="2"/>
    </row>
    <row r="15" spans="1:29" s="1" customFormat="1" ht="15.75">
      <c r="A15" s="85" t="s">
        <v>53</v>
      </c>
      <c r="B15" s="118" t="s">
        <v>60</v>
      </c>
      <c r="C15" s="66">
        <f>C16+C17+C18</f>
        <v>123815839</v>
      </c>
      <c r="D15" s="44">
        <f>D16+D17</f>
        <v>0</v>
      </c>
      <c r="E15" s="32">
        <f>E16+E17</f>
        <v>89242</v>
      </c>
      <c r="F15" s="32">
        <f>F16+F17</f>
        <v>89778</v>
      </c>
      <c r="G15" s="4"/>
      <c r="H15" s="4"/>
      <c r="I15" s="22"/>
      <c r="J15" s="6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11" ht="78.75">
      <c r="A16" s="64" t="s">
        <v>95</v>
      </c>
      <c r="B16" s="119" t="s">
        <v>86</v>
      </c>
      <c r="C16" s="68">
        <f>124414068-210161-504000-80000</f>
        <v>123619907</v>
      </c>
      <c r="E16" s="30">
        <v>89242</v>
      </c>
      <c r="F16" s="30">
        <v>89778</v>
      </c>
      <c r="G16" s="2">
        <f>11800*4-8843.4+224</f>
        <v>38580.6</v>
      </c>
      <c r="J16" s="59"/>
      <c r="K16" s="59"/>
    </row>
    <row r="17" spans="1:11" ht="110.25">
      <c r="A17" s="64" t="s">
        <v>200</v>
      </c>
      <c r="B17" s="119" t="s">
        <v>81</v>
      </c>
      <c r="C17" s="68">
        <v>43520</v>
      </c>
      <c r="E17" s="30"/>
      <c r="F17" s="30"/>
      <c r="G17" s="2">
        <v>-40</v>
      </c>
      <c r="J17" s="59"/>
      <c r="K17" s="59"/>
    </row>
    <row r="18" spans="1:11" ht="47.25">
      <c r="A18" s="64" t="s">
        <v>97</v>
      </c>
      <c r="B18" s="119" t="s">
        <v>96</v>
      </c>
      <c r="C18" s="68">
        <f>72412+80000</f>
        <v>152412</v>
      </c>
      <c r="E18" s="30"/>
      <c r="F18" s="30"/>
      <c r="G18" s="2">
        <v>40</v>
      </c>
      <c r="J18" s="59"/>
      <c r="K18" s="59"/>
    </row>
    <row r="19" spans="1:11" ht="47.25">
      <c r="A19" s="69" t="s">
        <v>116</v>
      </c>
      <c r="B19" s="118" t="s">
        <v>117</v>
      </c>
      <c r="C19" s="66">
        <f>C20</f>
        <v>2011755</v>
      </c>
      <c r="E19" s="30"/>
      <c r="F19" s="30"/>
      <c r="J19" s="59"/>
      <c r="K19" s="59"/>
    </row>
    <row r="20" spans="1:11" ht="31.5">
      <c r="A20" s="64" t="s">
        <v>114</v>
      </c>
      <c r="B20" s="119" t="s">
        <v>115</v>
      </c>
      <c r="C20" s="68">
        <f>C21+C22+C23+C24</f>
        <v>2011755</v>
      </c>
      <c r="E20" s="30"/>
      <c r="F20" s="30"/>
      <c r="I20" s="21">
        <v>2593440</v>
      </c>
      <c r="J20" s="59"/>
      <c r="K20" s="59"/>
    </row>
    <row r="21" spans="1:11" ht="81.75" customHeight="1">
      <c r="A21" s="155" t="s">
        <v>196</v>
      </c>
      <c r="B21" s="119" t="s">
        <v>113</v>
      </c>
      <c r="C21" s="68">
        <f>526315+143000</f>
        <v>669315</v>
      </c>
      <c r="E21" s="30"/>
      <c r="F21" s="30"/>
      <c r="I21" s="21">
        <v>919480</v>
      </c>
      <c r="J21" s="59"/>
      <c r="K21" s="59"/>
    </row>
    <row r="22" spans="1:11" ht="94.5">
      <c r="A22" s="155" t="s">
        <v>197</v>
      </c>
      <c r="B22" s="119" t="s">
        <v>112</v>
      </c>
      <c r="C22" s="68">
        <f>11575+1000+5845</f>
        <v>18420</v>
      </c>
      <c r="E22" s="30"/>
      <c r="F22" s="30"/>
      <c r="I22" s="21">
        <v>20100</v>
      </c>
      <c r="J22" s="59"/>
      <c r="K22" s="59"/>
    </row>
    <row r="23" spans="1:11" ht="78.75">
      <c r="A23" s="155" t="s">
        <v>198</v>
      </c>
      <c r="B23" s="119" t="s">
        <v>111</v>
      </c>
      <c r="C23" s="68">
        <f>890290+1600+432130</f>
        <v>1324020</v>
      </c>
      <c r="E23" s="30"/>
      <c r="F23" s="30"/>
      <c r="I23" s="21">
        <v>1556440</v>
      </c>
      <c r="J23" s="59"/>
      <c r="K23" s="59"/>
    </row>
    <row r="24" spans="1:11" ht="78.75">
      <c r="A24" s="155" t="s">
        <v>199</v>
      </c>
      <c r="B24" s="119" t="s">
        <v>110</v>
      </c>
      <c r="C24" s="68">
        <f>55820-55820</f>
        <v>0</v>
      </c>
      <c r="E24" s="30"/>
      <c r="F24" s="30"/>
      <c r="I24" s="21">
        <v>97420</v>
      </c>
      <c r="J24" s="59"/>
      <c r="K24" s="59"/>
    </row>
    <row r="25" spans="1:29" s="1" customFormat="1" ht="15.75">
      <c r="A25" s="85" t="s">
        <v>62</v>
      </c>
      <c r="B25" s="118" t="s">
        <v>61</v>
      </c>
      <c r="C25" s="66">
        <f>C31+C26+C34</f>
        <v>3359820</v>
      </c>
      <c r="D25" s="44">
        <f>D31</f>
        <v>0</v>
      </c>
      <c r="E25" s="32">
        <f>E31</f>
        <v>2550.2</v>
      </c>
      <c r="F25" s="32">
        <f>F31</f>
        <v>2565.5</v>
      </c>
      <c r="G25" s="4"/>
      <c r="H25" s="4"/>
      <c r="I25" s="2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31.5">
      <c r="A26" s="69" t="s">
        <v>87</v>
      </c>
      <c r="B26" s="118" t="s">
        <v>89</v>
      </c>
      <c r="C26" s="66">
        <f>C27+C29</f>
        <v>367000</v>
      </c>
      <c r="D26" s="44"/>
      <c r="E26" s="32"/>
      <c r="F26" s="32"/>
      <c r="G26" s="4"/>
      <c r="H26" s="4"/>
      <c r="I26" s="2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31.5">
      <c r="A27" s="64" t="s">
        <v>88</v>
      </c>
      <c r="B27" s="119" t="s">
        <v>90</v>
      </c>
      <c r="C27" s="68">
        <f>C28</f>
        <v>143000</v>
      </c>
      <c r="D27" s="44"/>
      <c r="E27" s="32"/>
      <c r="F27" s="32"/>
      <c r="G27" s="4"/>
      <c r="H27" s="4"/>
      <c r="I27" s="2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1.5">
      <c r="A28" s="64" t="s">
        <v>169</v>
      </c>
      <c r="B28" s="119" t="s">
        <v>99</v>
      </c>
      <c r="C28" s="68">
        <f>151000-8000</f>
        <v>143000</v>
      </c>
      <c r="D28" s="44"/>
      <c r="E28" s="32"/>
      <c r="F28" s="32"/>
      <c r="G28" s="8">
        <v>-141</v>
      </c>
      <c r="H28" s="4"/>
      <c r="I28" s="2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52" customFormat="1" ht="47.25">
      <c r="A29" s="69" t="s">
        <v>103</v>
      </c>
      <c r="B29" s="118" t="s">
        <v>100</v>
      </c>
      <c r="C29" s="66">
        <f>C30</f>
        <v>224000</v>
      </c>
      <c r="D29" s="49"/>
      <c r="E29" s="50"/>
      <c r="F29" s="50"/>
      <c r="G29" s="55"/>
      <c r="H29" s="51"/>
      <c r="I29" s="125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</row>
    <row r="30" spans="1:29" s="52" customFormat="1" ht="47.25">
      <c r="A30" s="64" t="s">
        <v>102</v>
      </c>
      <c r="B30" s="119" t="s">
        <v>101</v>
      </c>
      <c r="C30" s="68">
        <f>113000+110000+1000</f>
        <v>224000</v>
      </c>
      <c r="D30" s="53"/>
      <c r="E30" s="54"/>
      <c r="F30" s="54"/>
      <c r="G30" s="55">
        <v>141</v>
      </c>
      <c r="H30" s="51"/>
      <c r="I30" s="125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</row>
    <row r="31" spans="1:29" s="1" customFormat="1" ht="31.5">
      <c r="A31" s="69" t="s">
        <v>1</v>
      </c>
      <c r="B31" s="118" t="s">
        <v>8</v>
      </c>
      <c r="C31" s="66">
        <f>C32+C33</f>
        <v>2922400</v>
      </c>
      <c r="D31" s="44">
        <f>D32</f>
        <v>0</v>
      </c>
      <c r="E31" s="32">
        <f>E32</f>
        <v>2550.2</v>
      </c>
      <c r="F31" s="32">
        <f>F32</f>
        <v>2565.5</v>
      </c>
      <c r="G31" s="4"/>
      <c r="H31" s="4"/>
      <c r="I31" s="2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20" customFormat="1" ht="31.5">
      <c r="A32" s="64" t="s">
        <v>1</v>
      </c>
      <c r="B32" s="119" t="s">
        <v>13</v>
      </c>
      <c r="C32" s="68">
        <f>3333000-410600</f>
        <v>2922400</v>
      </c>
      <c r="D32" s="10"/>
      <c r="E32" s="33">
        <v>2550.2</v>
      </c>
      <c r="F32" s="33">
        <v>2565.5</v>
      </c>
      <c r="G32" s="8"/>
      <c r="H32" s="8"/>
      <c r="I32" s="23">
        <v>2750000</v>
      </c>
      <c r="J32" s="17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s="20" customFormat="1" ht="47.25">
      <c r="A33" s="64" t="s">
        <v>209</v>
      </c>
      <c r="B33" s="119" t="s">
        <v>208</v>
      </c>
      <c r="C33" s="68">
        <f>5000-5000</f>
        <v>0</v>
      </c>
      <c r="D33" s="10"/>
      <c r="E33" s="33"/>
      <c r="F33" s="33"/>
      <c r="G33" s="8"/>
      <c r="H33" s="8"/>
      <c r="I33" s="23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20" customFormat="1" ht="47.25">
      <c r="A34" s="69" t="s">
        <v>91</v>
      </c>
      <c r="B34" s="118" t="s">
        <v>93</v>
      </c>
      <c r="C34" s="66">
        <f>C35</f>
        <v>70420</v>
      </c>
      <c r="D34" s="10"/>
      <c r="E34" s="33"/>
      <c r="F34" s="33"/>
      <c r="G34" s="8"/>
      <c r="H34" s="8"/>
      <c r="I34" s="23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20" customFormat="1" ht="63">
      <c r="A35" s="64" t="s">
        <v>92</v>
      </c>
      <c r="B35" s="119" t="s">
        <v>94</v>
      </c>
      <c r="C35" s="68">
        <f>53000+17420</f>
        <v>70420</v>
      </c>
      <c r="D35" s="10"/>
      <c r="E35" s="33"/>
      <c r="F35" s="33"/>
      <c r="G35" s="8"/>
      <c r="H35" s="8"/>
      <c r="I35" s="23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20" customFormat="1" ht="15.75">
      <c r="A36" s="85" t="s">
        <v>124</v>
      </c>
      <c r="B36" s="118" t="s">
        <v>125</v>
      </c>
      <c r="C36" s="66">
        <f>C37+C39</f>
        <v>8000</v>
      </c>
      <c r="D36" s="10"/>
      <c r="E36" s="33"/>
      <c r="F36" s="33"/>
      <c r="G36" s="8"/>
      <c r="H36" s="8"/>
      <c r="I36" s="23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20" customFormat="1" ht="15.75">
      <c r="A37" s="85" t="s">
        <v>122</v>
      </c>
      <c r="B37" s="118" t="s">
        <v>123</v>
      </c>
      <c r="C37" s="68">
        <f>C38</f>
        <v>5000</v>
      </c>
      <c r="D37" s="10"/>
      <c r="E37" s="33"/>
      <c r="F37" s="33"/>
      <c r="G37" s="8"/>
      <c r="H37" s="8"/>
      <c r="I37" s="23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20" customFormat="1" ht="47.25">
      <c r="A38" s="86" t="s">
        <v>120</v>
      </c>
      <c r="B38" s="119" t="s">
        <v>121</v>
      </c>
      <c r="C38" s="68">
        <f>3000+2000</f>
        <v>5000</v>
      </c>
      <c r="D38" s="10"/>
      <c r="E38" s="33"/>
      <c r="F38" s="33"/>
      <c r="G38" s="8"/>
      <c r="H38" s="8"/>
      <c r="I38" s="23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20" customFormat="1" ht="15.75">
      <c r="A39" s="87" t="s">
        <v>118</v>
      </c>
      <c r="B39" s="118" t="s">
        <v>119</v>
      </c>
      <c r="C39" s="68">
        <f>C40+C42</f>
        <v>3000</v>
      </c>
      <c r="D39" s="10"/>
      <c r="E39" s="33"/>
      <c r="F39" s="33"/>
      <c r="G39" s="8"/>
      <c r="H39" s="8"/>
      <c r="I39" s="23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20" customFormat="1" ht="15.75">
      <c r="A40" s="88" t="s">
        <v>202</v>
      </c>
      <c r="B40" s="118" t="s">
        <v>204</v>
      </c>
      <c r="C40" s="68">
        <f>C41</f>
        <v>2000</v>
      </c>
      <c r="D40" s="10"/>
      <c r="E40" s="33"/>
      <c r="F40" s="33"/>
      <c r="G40" s="8"/>
      <c r="H40" s="8"/>
      <c r="I40" s="23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20" customFormat="1" ht="31.5">
      <c r="A41" s="86" t="s">
        <v>203</v>
      </c>
      <c r="B41" s="119" t="s">
        <v>201</v>
      </c>
      <c r="C41" s="68">
        <v>2000</v>
      </c>
      <c r="D41" s="10"/>
      <c r="E41" s="33"/>
      <c r="F41" s="33"/>
      <c r="G41" s="8"/>
      <c r="H41" s="8"/>
      <c r="I41" s="23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s="20" customFormat="1" ht="15.75">
      <c r="A42" s="88" t="s">
        <v>213</v>
      </c>
      <c r="B42" s="118" t="s">
        <v>211</v>
      </c>
      <c r="C42" s="68">
        <f>C43</f>
        <v>1000</v>
      </c>
      <c r="D42" s="10"/>
      <c r="E42" s="33"/>
      <c r="F42" s="33"/>
      <c r="G42" s="8"/>
      <c r="H42" s="8"/>
      <c r="I42" s="23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s="20" customFormat="1" ht="31.5">
      <c r="A43" s="86" t="s">
        <v>212</v>
      </c>
      <c r="B43" s="119" t="s">
        <v>210</v>
      </c>
      <c r="C43" s="68">
        <v>1000</v>
      </c>
      <c r="D43" s="10"/>
      <c r="E43" s="33"/>
      <c r="F43" s="33"/>
      <c r="G43" s="8"/>
      <c r="H43" s="8"/>
      <c r="I43" s="23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10" ht="15.75">
      <c r="A44" s="69" t="s">
        <v>46</v>
      </c>
      <c r="B44" s="118" t="s">
        <v>63</v>
      </c>
      <c r="C44" s="66">
        <f>C45</f>
        <v>122000</v>
      </c>
      <c r="D44" s="44">
        <f>D45</f>
        <v>281</v>
      </c>
      <c r="E44" s="34">
        <f>E45</f>
        <v>282</v>
      </c>
      <c r="F44" s="34">
        <f>F45</f>
        <v>283</v>
      </c>
      <c r="J44" s="2"/>
    </row>
    <row r="45" spans="1:10" ht="31.5">
      <c r="A45" s="69" t="s">
        <v>47</v>
      </c>
      <c r="B45" s="118" t="s">
        <v>48</v>
      </c>
      <c r="C45" s="66">
        <f>C46</f>
        <v>122000</v>
      </c>
      <c r="D45" s="44">
        <v>281</v>
      </c>
      <c r="E45" s="34">
        <v>282</v>
      </c>
      <c r="F45" s="34">
        <v>283</v>
      </c>
      <c r="J45" s="2"/>
    </row>
    <row r="46" spans="1:29" s="1" customFormat="1" ht="47.25">
      <c r="A46" s="64" t="s">
        <v>49</v>
      </c>
      <c r="B46" s="119" t="s">
        <v>2</v>
      </c>
      <c r="C46" s="68">
        <f>156000-26000-8000</f>
        <v>122000</v>
      </c>
      <c r="D46" s="11"/>
      <c r="E46" s="30">
        <v>281.6</v>
      </c>
      <c r="F46" s="30">
        <v>283.4</v>
      </c>
      <c r="G46" s="4"/>
      <c r="H46" s="4"/>
      <c r="I46" s="2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10" ht="15.75">
      <c r="A47" s="69" t="s">
        <v>76</v>
      </c>
      <c r="B47" s="118"/>
      <c r="C47" s="66">
        <f>C48+C70+C85+C66+C56+C62</f>
        <v>5766331</v>
      </c>
      <c r="D47" s="44" t="e">
        <f>D48+#REF!+D70+D85+#REF!</f>
        <v>#REF!</v>
      </c>
      <c r="E47" s="32" t="e">
        <f>E48+#REF!+E70+E85+#REF!</f>
        <v>#REF!</v>
      </c>
      <c r="F47" s="32" t="e">
        <f>F48+#REF!+F70+F85+#REF!</f>
        <v>#REF!</v>
      </c>
      <c r="J47" s="2"/>
    </row>
    <row r="48" spans="1:10" ht="47.25">
      <c r="A48" s="69" t="s">
        <v>65</v>
      </c>
      <c r="B48" s="118" t="s">
        <v>64</v>
      </c>
      <c r="C48" s="66">
        <f>C49+C53</f>
        <v>4128070</v>
      </c>
      <c r="D48" s="44" t="e">
        <f>D49</f>
        <v>#REF!</v>
      </c>
      <c r="E48" s="32" t="e">
        <f>E49</f>
        <v>#REF!</v>
      </c>
      <c r="F48" s="32" t="e">
        <f>F49</f>
        <v>#REF!</v>
      </c>
      <c r="J48" s="2"/>
    </row>
    <row r="49" spans="1:10" ht="94.5">
      <c r="A49" s="64" t="s">
        <v>83</v>
      </c>
      <c r="B49" s="118" t="s">
        <v>82</v>
      </c>
      <c r="C49" s="66">
        <f>C52+C51+C50</f>
        <v>3988070</v>
      </c>
      <c r="D49" s="45" t="e">
        <f>#REF!+D52</f>
        <v>#REF!</v>
      </c>
      <c r="E49" s="35" t="e">
        <f>#REF!+E52</f>
        <v>#REF!</v>
      </c>
      <c r="F49" s="35" t="e">
        <f>#REF!+F52</f>
        <v>#REF!</v>
      </c>
      <c r="J49" s="2"/>
    </row>
    <row r="50" spans="1:29" s="1" customFormat="1" ht="78.75">
      <c r="A50" s="64" t="s">
        <v>80</v>
      </c>
      <c r="B50" s="119" t="s">
        <v>79</v>
      </c>
      <c r="C50" s="68">
        <f>17000+7000+15070</f>
        <v>39070</v>
      </c>
      <c r="D50" s="11"/>
      <c r="E50" s="36">
        <v>1000</v>
      </c>
      <c r="F50" s="36">
        <v>1100</v>
      </c>
      <c r="G50" s="4">
        <v>-70</v>
      </c>
      <c r="H50" s="4"/>
      <c r="I50" s="22">
        <v>36800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10" ht="78.75">
      <c r="A51" s="86" t="s">
        <v>14</v>
      </c>
      <c r="B51" s="119" t="s">
        <v>3</v>
      </c>
      <c r="C51" s="68">
        <f>90000+40000+69000</f>
        <v>199000</v>
      </c>
      <c r="E51" s="30"/>
      <c r="F51" s="30"/>
      <c r="I51" s="21">
        <v>210000</v>
      </c>
      <c r="J51" s="2"/>
    </row>
    <row r="52" spans="1:29" s="1" customFormat="1" ht="78.75">
      <c r="A52" s="64" t="s">
        <v>12</v>
      </c>
      <c r="B52" s="119" t="s">
        <v>4</v>
      </c>
      <c r="C52" s="68">
        <f>2250000+1500000</f>
        <v>3750000</v>
      </c>
      <c r="D52" s="11"/>
      <c r="E52" s="36">
        <v>3099</v>
      </c>
      <c r="F52" s="36">
        <v>3117</v>
      </c>
      <c r="G52" s="4">
        <v>-900</v>
      </c>
      <c r="H52" s="4"/>
      <c r="I52" s="22">
        <v>3350000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52" customFormat="1" ht="94.5">
      <c r="A53" s="69" t="s">
        <v>105</v>
      </c>
      <c r="B53" s="118" t="s">
        <v>104</v>
      </c>
      <c r="C53" s="66">
        <f>C54</f>
        <v>140000</v>
      </c>
      <c r="D53" s="56"/>
      <c r="E53" s="57"/>
      <c r="F53" s="57"/>
      <c r="G53" s="51"/>
      <c r="H53" s="51"/>
      <c r="I53" s="125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</row>
    <row r="54" spans="1:29" s="52" customFormat="1" ht="94.5">
      <c r="A54" s="69" t="s">
        <v>106</v>
      </c>
      <c r="B54" s="118" t="s">
        <v>107</v>
      </c>
      <c r="C54" s="66">
        <f>C55</f>
        <v>140000</v>
      </c>
      <c r="D54" s="58"/>
      <c r="E54" s="57"/>
      <c r="F54" s="57"/>
      <c r="G54" s="51"/>
      <c r="H54" s="51"/>
      <c r="I54" s="125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</row>
    <row r="55" spans="1:29" s="52" customFormat="1" ht="78.75">
      <c r="A55" s="64" t="s">
        <v>109</v>
      </c>
      <c r="B55" s="119" t="s">
        <v>108</v>
      </c>
      <c r="C55" s="68">
        <v>140000</v>
      </c>
      <c r="D55" s="56"/>
      <c r="E55" s="57"/>
      <c r="F55" s="57"/>
      <c r="G55" s="51">
        <v>70</v>
      </c>
      <c r="H55" s="51"/>
      <c r="I55" s="125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</row>
    <row r="56" spans="1:29" s="1" customFormat="1" ht="35.25" customHeight="1">
      <c r="A56" s="69" t="s">
        <v>67</v>
      </c>
      <c r="B56" s="118" t="s">
        <v>66</v>
      </c>
      <c r="C56" s="66">
        <f>C57</f>
        <v>551600</v>
      </c>
      <c r="D56" s="11"/>
      <c r="E56" s="36"/>
      <c r="F56" s="36"/>
      <c r="G56" s="4"/>
      <c r="H56" s="4"/>
      <c r="I56" s="22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15.75">
      <c r="A57" s="64" t="s">
        <v>57</v>
      </c>
      <c r="B57" s="119" t="s">
        <v>68</v>
      </c>
      <c r="C57" s="68">
        <f>C58+C59+C60+C61</f>
        <v>551600</v>
      </c>
      <c r="D57" s="11"/>
      <c r="E57" s="36"/>
      <c r="F57" s="36"/>
      <c r="G57" s="4"/>
      <c r="H57" s="4"/>
      <c r="I57" s="22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1" customFormat="1" ht="31.5">
      <c r="A58" s="64" t="s">
        <v>215</v>
      </c>
      <c r="B58" s="119" t="s">
        <v>214</v>
      </c>
      <c r="C58" s="68">
        <f>11000+9000+1000</f>
        <v>21000</v>
      </c>
      <c r="D58" s="11"/>
      <c r="E58" s="36"/>
      <c r="F58" s="36"/>
      <c r="G58" s="4"/>
      <c r="H58" s="4"/>
      <c r="I58" s="22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31.5">
      <c r="A59" s="64" t="s">
        <v>217</v>
      </c>
      <c r="B59" s="119" t="s">
        <v>216</v>
      </c>
      <c r="C59" s="68">
        <f>500+6000+2000</f>
        <v>8500</v>
      </c>
      <c r="D59" s="11"/>
      <c r="E59" s="36"/>
      <c r="F59" s="36"/>
      <c r="G59" s="4"/>
      <c r="H59" s="4"/>
      <c r="I59" s="22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15.75">
      <c r="A60" s="64" t="s">
        <v>218</v>
      </c>
      <c r="B60" s="119" t="s">
        <v>219</v>
      </c>
      <c r="C60" s="68">
        <f>100500+157300</f>
        <v>257800</v>
      </c>
      <c r="D60" s="11"/>
      <c r="E60" s="36"/>
      <c r="F60" s="36"/>
      <c r="G60" s="4"/>
      <c r="H60" s="4"/>
      <c r="I60" s="22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1" customFormat="1" ht="15.75">
      <c r="A61" s="64" t="s">
        <v>154</v>
      </c>
      <c r="B61" s="119" t="s">
        <v>220</v>
      </c>
      <c r="C61" s="68">
        <f>12000+110000+142300</f>
        <v>264300</v>
      </c>
      <c r="D61" s="11"/>
      <c r="E61" s="36"/>
      <c r="F61" s="36"/>
      <c r="G61" s="4"/>
      <c r="H61" s="4"/>
      <c r="I61" s="22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31.5">
      <c r="A62" s="69" t="s">
        <v>156</v>
      </c>
      <c r="B62" s="118" t="s">
        <v>157</v>
      </c>
      <c r="C62" s="66">
        <f>C63</f>
        <v>380000</v>
      </c>
      <c r="D62" s="11"/>
      <c r="E62" s="36"/>
      <c r="F62" s="36"/>
      <c r="G62" s="4"/>
      <c r="H62" s="4"/>
      <c r="I62" s="22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s="1" customFormat="1" ht="15.75">
      <c r="A63" s="64" t="s">
        <v>162</v>
      </c>
      <c r="B63" s="119" t="s">
        <v>163</v>
      </c>
      <c r="C63" s="68">
        <f>C64</f>
        <v>380000</v>
      </c>
      <c r="D63" s="11"/>
      <c r="E63" s="36"/>
      <c r="F63" s="36"/>
      <c r="G63" s="4"/>
      <c r="H63" s="4"/>
      <c r="I63" s="22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s="1" customFormat="1" ht="15.75">
      <c r="A64" s="64" t="s">
        <v>160</v>
      </c>
      <c r="B64" s="119" t="s">
        <v>161</v>
      </c>
      <c r="C64" s="68">
        <f>C65</f>
        <v>380000</v>
      </c>
      <c r="D64" s="11"/>
      <c r="E64" s="36"/>
      <c r="F64" s="36"/>
      <c r="G64" s="4"/>
      <c r="H64" s="4"/>
      <c r="I64" s="22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s="1" customFormat="1" ht="31.5">
      <c r="A65" s="64" t="s">
        <v>159</v>
      </c>
      <c r="B65" s="119" t="s">
        <v>158</v>
      </c>
      <c r="C65" s="68">
        <v>380000</v>
      </c>
      <c r="D65" s="11"/>
      <c r="E65" s="36"/>
      <c r="F65" s="36"/>
      <c r="G65" s="4"/>
      <c r="H65" s="4"/>
      <c r="I65" s="22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s="138" customFormat="1" ht="47.25">
      <c r="A66" s="130" t="s">
        <v>189</v>
      </c>
      <c r="B66" s="118" t="s">
        <v>190</v>
      </c>
      <c r="C66" s="66">
        <f>C67</f>
        <v>210161</v>
      </c>
      <c r="D66" s="146"/>
      <c r="E66" s="66">
        <f>E67</f>
        <v>75000</v>
      </c>
      <c r="F66" s="118"/>
      <c r="G66" s="66">
        <f>G67</f>
        <v>0</v>
      </c>
      <c r="H66" s="136"/>
      <c r="I66" s="154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</row>
    <row r="67" spans="1:29" s="134" customFormat="1" ht="110.25">
      <c r="A67" s="131" t="s">
        <v>191</v>
      </c>
      <c r="B67" s="119" t="s">
        <v>193</v>
      </c>
      <c r="C67" s="68">
        <f>C68</f>
        <v>210161</v>
      </c>
      <c r="D67" s="146"/>
      <c r="E67" s="66">
        <f>E69</f>
        <v>75000</v>
      </c>
      <c r="F67" s="118"/>
      <c r="G67" s="66">
        <f>G69</f>
        <v>0</v>
      </c>
      <c r="H67" s="133"/>
      <c r="I67" s="15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</row>
    <row r="68" spans="1:29" s="134" customFormat="1" ht="110.25">
      <c r="A68" s="131" t="s">
        <v>194</v>
      </c>
      <c r="B68" s="119" t="s">
        <v>195</v>
      </c>
      <c r="C68" s="68">
        <f>C69</f>
        <v>210161</v>
      </c>
      <c r="D68" s="146"/>
      <c r="E68" s="66"/>
      <c r="F68" s="118"/>
      <c r="G68" s="66"/>
      <c r="H68" s="133"/>
      <c r="I68" s="15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</row>
    <row r="69" spans="1:29" s="134" customFormat="1" ht="94.5">
      <c r="A69" s="131" t="s">
        <v>192</v>
      </c>
      <c r="B69" s="119" t="s">
        <v>207</v>
      </c>
      <c r="C69" s="68">
        <v>210161</v>
      </c>
      <c r="D69" s="146"/>
      <c r="E69" s="66">
        <v>75000</v>
      </c>
      <c r="F69" s="118"/>
      <c r="G69" s="66"/>
      <c r="H69" s="133"/>
      <c r="I69" s="15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</row>
    <row r="70" spans="1:10" ht="15.75">
      <c r="A70" s="85" t="s">
        <v>70</v>
      </c>
      <c r="B70" s="118" t="s">
        <v>69</v>
      </c>
      <c r="C70" s="66">
        <f>C71+C73+C76+C77+C83+C79+C81+C74+C75</f>
        <v>496500</v>
      </c>
      <c r="D70" s="44" t="e">
        <f>#REF!</f>
        <v>#REF!</v>
      </c>
      <c r="E70" s="32" t="e">
        <f>#REF!</f>
        <v>#REF!</v>
      </c>
      <c r="F70" s="32" t="e">
        <f>#REF!</f>
        <v>#REF!</v>
      </c>
      <c r="G70" s="8"/>
      <c r="I70" s="153"/>
      <c r="J70" s="2"/>
    </row>
    <row r="71" spans="1:10" ht="31.5">
      <c r="A71" s="69" t="s">
        <v>170</v>
      </c>
      <c r="B71" s="118" t="s">
        <v>171</v>
      </c>
      <c r="C71" s="66">
        <f>C72</f>
        <v>20000</v>
      </c>
      <c r="D71" s="44" t="e">
        <f>#REF!</f>
        <v>#REF!</v>
      </c>
      <c r="E71" s="32">
        <v>500</v>
      </c>
      <c r="F71" s="32">
        <v>510</v>
      </c>
      <c r="I71" s="153"/>
      <c r="J71" s="2"/>
    </row>
    <row r="72" spans="1:10" ht="78.75">
      <c r="A72" s="69" t="s">
        <v>172</v>
      </c>
      <c r="B72" s="118" t="s">
        <v>173</v>
      </c>
      <c r="C72" s="66">
        <f>7000+13000</f>
        <v>20000</v>
      </c>
      <c r="D72" s="124"/>
      <c r="E72" s="32"/>
      <c r="F72" s="32"/>
      <c r="I72" s="153">
        <v>7000</v>
      </c>
      <c r="J72" s="2"/>
    </row>
    <row r="73" spans="1:10" ht="63">
      <c r="A73" s="69" t="s">
        <v>174</v>
      </c>
      <c r="B73" s="118" t="s">
        <v>175</v>
      </c>
      <c r="C73" s="66">
        <v>3000</v>
      </c>
      <c r="D73" s="124"/>
      <c r="E73" s="32"/>
      <c r="F73" s="32"/>
      <c r="I73" s="21">
        <v>3000</v>
      </c>
      <c r="J73" s="2"/>
    </row>
    <row r="74" spans="1:10" ht="29.25" customHeight="1">
      <c r="A74" s="69" t="s">
        <v>259</v>
      </c>
      <c r="B74" s="118" t="s">
        <v>258</v>
      </c>
      <c r="C74" s="66">
        <v>20000</v>
      </c>
      <c r="D74" s="124"/>
      <c r="E74" s="32"/>
      <c r="F74" s="32"/>
      <c r="J74" s="2"/>
    </row>
    <row r="75" spans="1:10" ht="62.25" customHeight="1">
      <c r="A75" s="69" t="s">
        <v>261</v>
      </c>
      <c r="B75" s="118" t="s">
        <v>260</v>
      </c>
      <c r="C75" s="66">
        <v>40000</v>
      </c>
      <c r="D75" s="124"/>
      <c r="E75" s="32"/>
      <c r="F75" s="32"/>
      <c r="J75" s="2"/>
    </row>
    <row r="76" spans="1:10" ht="63">
      <c r="A76" s="69" t="s">
        <v>176</v>
      </c>
      <c r="B76" s="118" t="s">
        <v>177</v>
      </c>
      <c r="C76" s="66">
        <f>10000+72000+18000</f>
        <v>100000</v>
      </c>
      <c r="D76" s="124"/>
      <c r="E76" s="32"/>
      <c r="F76" s="32"/>
      <c r="I76" s="21">
        <v>10000</v>
      </c>
      <c r="J76" s="2"/>
    </row>
    <row r="77" spans="1:10" ht="31.5">
      <c r="A77" s="69" t="s">
        <v>178</v>
      </c>
      <c r="B77" s="118" t="s">
        <v>179</v>
      </c>
      <c r="C77" s="66">
        <f>C78</f>
        <v>19000</v>
      </c>
      <c r="D77" s="124"/>
      <c r="E77" s="32"/>
      <c r="F77" s="32"/>
      <c r="J77" s="2"/>
    </row>
    <row r="78" spans="1:10" ht="31.5">
      <c r="A78" s="69" t="s">
        <v>180</v>
      </c>
      <c r="B78" s="118" t="s">
        <v>181</v>
      </c>
      <c r="C78" s="66">
        <f>9000+10000</f>
        <v>19000</v>
      </c>
      <c r="D78" s="124"/>
      <c r="E78" s="32"/>
      <c r="F78" s="32"/>
      <c r="I78" s="21">
        <v>9000</v>
      </c>
      <c r="J78" s="2"/>
    </row>
    <row r="79" spans="1:10" ht="63">
      <c r="A79" s="69" t="s">
        <v>224</v>
      </c>
      <c r="B79" s="118" t="s">
        <v>223</v>
      </c>
      <c r="C79" s="66">
        <f>C80</f>
        <v>29500</v>
      </c>
      <c r="D79" s="124"/>
      <c r="E79" s="32"/>
      <c r="F79" s="32"/>
      <c r="J79" s="2"/>
    </row>
    <row r="80" spans="1:10" ht="78.75">
      <c r="A80" s="69" t="s">
        <v>221</v>
      </c>
      <c r="B80" s="118" t="s">
        <v>222</v>
      </c>
      <c r="C80" s="66">
        <f>20000+8000+1500</f>
        <v>29500</v>
      </c>
      <c r="D80" s="124"/>
      <c r="E80" s="32"/>
      <c r="F80" s="32"/>
      <c r="J80" s="2"/>
    </row>
    <row r="81" spans="1:10" ht="31.5">
      <c r="A81" s="69" t="s">
        <v>227</v>
      </c>
      <c r="B81" s="118" t="s">
        <v>228</v>
      </c>
      <c r="C81" s="66">
        <f>C82</f>
        <v>34000</v>
      </c>
      <c r="D81" s="124"/>
      <c r="E81" s="32"/>
      <c r="F81" s="32"/>
      <c r="J81" s="2"/>
    </row>
    <row r="82" spans="1:10" ht="78.75">
      <c r="A82" s="69" t="s">
        <v>226</v>
      </c>
      <c r="B82" s="118" t="s">
        <v>225</v>
      </c>
      <c r="C82" s="66">
        <f>26000+6000+2000</f>
        <v>34000</v>
      </c>
      <c r="D82" s="124"/>
      <c r="E82" s="32"/>
      <c r="F82" s="32"/>
      <c r="J82" s="2"/>
    </row>
    <row r="83" spans="1:10" ht="31.5">
      <c r="A83" s="69" t="s">
        <v>9</v>
      </c>
      <c r="B83" s="118" t="s">
        <v>10</v>
      </c>
      <c r="C83" s="66">
        <f>C84</f>
        <v>231000</v>
      </c>
      <c r="D83" s="124"/>
      <c r="E83" s="32"/>
      <c r="F83" s="32"/>
      <c r="I83" s="21">
        <v>356960</v>
      </c>
      <c r="J83" s="2"/>
    </row>
    <row r="84" spans="1:29" s="1" customFormat="1" ht="47.25">
      <c r="A84" s="69" t="s">
        <v>5</v>
      </c>
      <c r="B84" s="118" t="s">
        <v>6</v>
      </c>
      <c r="C84" s="66">
        <f>156960+35000+39040</f>
        <v>231000</v>
      </c>
      <c r="D84" s="124"/>
      <c r="E84" s="32"/>
      <c r="F84" s="32"/>
      <c r="G84" s="2"/>
      <c r="H84" s="4"/>
      <c r="I84" s="21">
        <v>356960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10" ht="15.75">
      <c r="A85" s="69" t="s">
        <v>72</v>
      </c>
      <c r="B85" s="118" t="s">
        <v>71</v>
      </c>
      <c r="C85" s="66">
        <v>0</v>
      </c>
      <c r="D85" s="44" t="e">
        <f>#REF!</f>
        <v>#REF!</v>
      </c>
      <c r="E85" s="32" t="e">
        <f>#REF!</f>
        <v>#REF!</v>
      </c>
      <c r="F85" s="32" t="e">
        <f>#REF!</f>
        <v>#REF!</v>
      </c>
      <c r="J85" s="2"/>
    </row>
    <row r="86" spans="1:10" ht="15.75">
      <c r="A86" s="69" t="s">
        <v>77</v>
      </c>
      <c r="B86" s="119"/>
      <c r="C86" s="66">
        <f>C12</f>
        <v>135083745</v>
      </c>
      <c r="D86" s="44" t="e">
        <f>D12</f>
        <v>#REF!</v>
      </c>
      <c r="E86" s="32" t="e">
        <f>E12</f>
        <v>#REF!</v>
      </c>
      <c r="F86" s="32" t="e">
        <f>F12</f>
        <v>#REF!</v>
      </c>
      <c r="J86" s="2"/>
    </row>
    <row r="87" spans="1:10" ht="15.75">
      <c r="A87" s="69" t="s">
        <v>155</v>
      </c>
      <c r="B87" s="118" t="s">
        <v>74</v>
      </c>
      <c r="C87" s="66">
        <f>C88</f>
        <v>245151297.44</v>
      </c>
      <c r="D87" s="40" t="e">
        <f>D88</f>
        <v>#REF!</v>
      </c>
      <c r="E87" s="3" t="e">
        <f>E88</f>
        <v>#REF!</v>
      </c>
      <c r="F87" s="3" t="e">
        <f>F88</f>
        <v>#REF!</v>
      </c>
      <c r="G87" s="4"/>
      <c r="I87" s="22"/>
      <c r="J87" s="2"/>
    </row>
    <row r="88" spans="1:10" ht="31.5">
      <c r="A88" s="69" t="s">
        <v>22</v>
      </c>
      <c r="B88" s="118" t="s">
        <v>0</v>
      </c>
      <c r="C88" s="66">
        <f>C89+C105+C134+C94</f>
        <v>245151297.44</v>
      </c>
      <c r="D88" s="40" t="e">
        <f>D89+#REF!+D105+D134</f>
        <v>#REF!</v>
      </c>
      <c r="E88" s="3" t="e">
        <f>E89+#REF!+E105+E134</f>
        <v>#REF!</v>
      </c>
      <c r="F88" s="3" t="e">
        <f>F89+#REF!+F105+F134</f>
        <v>#REF!</v>
      </c>
      <c r="G88" s="4"/>
      <c r="I88" s="22"/>
      <c r="J88" s="2"/>
    </row>
    <row r="89" spans="1:10" ht="31.5">
      <c r="A89" s="69" t="s">
        <v>23</v>
      </c>
      <c r="B89" s="118" t="s">
        <v>75</v>
      </c>
      <c r="C89" s="66">
        <f>C90+C92</f>
        <v>113669800</v>
      </c>
      <c r="D89" s="40" t="e">
        <f>D90+D92+#REF!</f>
        <v>#REF!</v>
      </c>
      <c r="E89" s="3" t="e">
        <f>E90+E92+#REF!</f>
        <v>#REF!</v>
      </c>
      <c r="F89" s="3" t="e">
        <f>F90+F92+#REF!</f>
        <v>#REF!</v>
      </c>
      <c r="J89" s="2"/>
    </row>
    <row r="90" spans="1:10" ht="15.75">
      <c r="A90" s="69" t="s">
        <v>25</v>
      </c>
      <c r="B90" s="118" t="s">
        <v>26</v>
      </c>
      <c r="C90" s="66">
        <f>C91</f>
        <v>1969000</v>
      </c>
      <c r="D90" s="40">
        <f>D91</f>
        <v>0</v>
      </c>
      <c r="E90" s="3">
        <f>E91</f>
        <v>27935.4</v>
      </c>
      <c r="F90" s="3">
        <f>F91</f>
        <v>27970.7</v>
      </c>
      <c r="J90" s="2"/>
    </row>
    <row r="91" spans="1:29" s="1" customFormat="1" ht="31.5">
      <c r="A91" s="64" t="s">
        <v>134</v>
      </c>
      <c r="B91" s="119" t="s">
        <v>21</v>
      </c>
      <c r="C91" s="68">
        <v>1969000</v>
      </c>
      <c r="D91" s="10"/>
      <c r="E91" s="30">
        <f>1906.2+26029.2</f>
        <v>27935.4</v>
      </c>
      <c r="F91" s="30">
        <f>1906.2+26064.5</f>
        <v>27970.7</v>
      </c>
      <c r="G91" s="2"/>
      <c r="H91" s="4"/>
      <c r="I91" s="2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s="20" customFormat="1" ht="31.5">
      <c r="A92" s="69" t="s">
        <v>41</v>
      </c>
      <c r="B92" s="118" t="s">
        <v>24</v>
      </c>
      <c r="C92" s="66">
        <f>C93</f>
        <v>111700800</v>
      </c>
      <c r="D92" s="40">
        <f>D93</f>
        <v>0</v>
      </c>
      <c r="E92" s="3">
        <f>E93</f>
        <v>105209</v>
      </c>
      <c r="F92" s="3">
        <f>F93</f>
        <v>117970</v>
      </c>
      <c r="G92" s="4"/>
      <c r="H92" s="8"/>
      <c r="I92" s="22"/>
      <c r="J92" s="23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s="18" customFormat="1" ht="31.5">
      <c r="A93" s="64" t="s">
        <v>42</v>
      </c>
      <c r="B93" s="119" t="s">
        <v>20</v>
      </c>
      <c r="C93" s="68">
        <f>124112000-12411200</f>
        <v>111700800</v>
      </c>
      <c r="D93" s="10"/>
      <c r="E93" s="30">
        <v>105209</v>
      </c>
      <c r="F93" s="30">
        <v>117970</v>
      </c>
      <c r="G93" s="2"/>
      <c r="H93" s="17"/>
      <c r="I93" s="21"/>
      <c r="J93" s="126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170" customFormat="1" ht="31.5">
      <c r="A94" s="69" t="s">
        <v>247</v>
      </c>
      <c r="B94" s="118" t="s">
        <v>244</v>
      </c>
      <c r="C94" s="66">
        <f>C95+C97</f>
        <v>7130200</v>
      </c>
      <c r="D94" s="11"/>
      <c r="E94" s="169"/>
      <c r="F94" s="169"/>
      <c r="G94" s="4"/>
      <c r="H94" s="16"/>
      <c r="I94" s="22"/>
      <c r="J94" s="127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:29" s="170" customFormat="1" ht="32.25" customHeight="1">
      <c r="A95" s="172" t="s">
        <v>246</v>
      </c>
      <c r="B95" s="173" t="s">
        <v>245</v>
      </c>
      <c r="C95" s="174">
        <f>C96</f>
        <v>319300</v>
      </c>
      <c r="D95" s="11"/>
      <c r="E95" s="169"/>
      <c r="F95" s="169"/>
      <c r="G95" s="4"/>
      <c r="H95" s="16"/>
      <c r="I95" s="22"/>
      <c r="J95" s="12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:29" s="18" customFormat="1" ht="47.25">
      <c r="A96" s="175" t="s">
        <v>240</v>
      </c>
      <c r="B96" s="176" t="s">
        <v>243</v>
      </c>
      <c r="C96" s="171">
        <v>319300</v>
      </c>
      <c r="D96" s="10"/>
      <c r="E96" s="168"/>
      <c r="F96" s="168"/>
      <c r="G96" s="2"/>
      <c r="H96" s="17"/>
      <c r="I96" s="21"/>
      <c r="J96" s="126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19" customFormat="1" ht="15.75">
      <c r="A97" s="92" t="s">
        <v>27</v>
      </c>
      <c r="B97" s="118" t="s">
        <v>28</v>
      </c>
      <c r="C97" s="66">
        <f>C98</f>
        <v>6810900</v>
      </c>
      <c r="D97" s="46">
        <f>SUM(D99:D102)</f>
        <v>0</v>
      </c>
      <c r="E97" s="5">
        <f>SUM(E99:E102)</f>
        <v>111.2</v>
      </c>
      <c r="F97" s="5">
        <f>SUM(F99:F102)</f>
        <v>114.2</v>
      </c>
      <c r="G97" s="4"/>
      <c r="H97" s="17"/>
      <c r="I97" s="22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9" s="17" customFormat="1" ht="15.75">
      <c r="A98" s="89" t="s">
        <v>16</v>
      </c>
      <c r="B98" s="119" t="s">
        <v>29</v>
      </c>
      <c r="C98" s="68">
        <f>C99+C100+C101+C102+C103+C104</f>
        <v>6810900</v>
      </c>
      <c r="D98" s="10"/>
      <c r="E98" s="33"/>
      <c r="F98" s="33"/>
      <c r="G98" s="8"/>
      <c r="I98" s="23"/>
    </row>
    <row r="99" spans="1:9" s="17" customFormat="1" ht="78.75">
      <c r="A99" s="89" t="s">
        <v>132</v>
      </c>
      <c r="B99" s="119" t="s">
        <v>29</v>
      </c>
      <c r="C99" s="68">
        <f>136600-400</f>
        <v>136200</v>
      </c>
      <c r="D99" s="10"/>
      <c r="E99" s="37">
        <v>111.2</v>
      </c>
      <c r="F99" s="37">
        <v>114.2</v>
      </c>
      <c r="I99" s="126"/>
    </row>
    <row r="100" spans="1:9" s="17" customFormat="1" ht="78.75">
      <c r="A100" s="90" t="s">
        <v>127</v>
      </c>
      <c r="B100" s="119" t="s">
        <v>29</v>
      </c>
      <c r="C100" s="68">
        <v>5969700</v>
      </c>
      <c r="D100" s="10"/>
      <c r="E100" s="37"/>
      <c r="F100" s="37"/>
      <c r="I100" s="126"/>
    </row>
    <row r="101" spans="1:9" s="16" customFormat="1" ht="78.75">
      <c r="A101" s="89" t="s">
        <v>130</v>
      </c>
      <c r="B101" s="119" t="s">
        <v>29</v>
      </c>
      <c r="C101" s="68">
        <v>248600</v>
      </c>
      <c r="D101" s="10"/>
      <c r="E101" s="37"/>
      <c r="F101" s="37"/>
      <c r="G101" s="17"/>
      <c r="I101" s="126"/>
    </row>
    <row r="102" spans="1:9" s="8" customFormat="1" ht="63">
      <c r="A102" s="89" t="s">
        <v>126</v>
      </c>
      <c r="B102" s="119" t="s">
        <v>29</v>
      </c>
      <c r="C102" s="68">
        <v>11400</v>
      </c>
      <c r="D102" s="10"/>
      <c r="E102" s="38"/>
      <c r="F102" s="37"/>
      <c r="G102" s="17"/>
      <c r="I102" s="126"/>
    </row>
    <row r="103" spans="1:10" ht="0.75" customHeight="1">
      <c r="A103" s="161" t="s">
        <v>164</v>
      </c>
      <c r="B103" s="119" t="s">
        <v>29</v>
      </c>
      <c r="C103" s="68">
        <v>0</v>
      </c>
      <c r="E103" s="93"/>
      <c r="F103" s="94"/>
      <c r="G103" s="17"/>
      <c r="I103" s="126"/>
      <c r="J103" s="2"/>
    </row>
    <row r="104" spans="1:10" ht="47.25">
      <c r="A104" s="89" t="s">
        <v>147</v>
      </c>
      <c r="B104" s="119" t="s">
        <v>29</v>
      </c>
      <c r="C104" s="68">
        <v>445000</v>
      </c>
      <c r="D104" s="12"/>
      <c r="E104" s="61"/>
      <c r="F104" s="61"/>
      <c r="G104" s="16"/>
      <c r="I104" s="127"/>
      <c r="J104" s="2"/>
    </row>
    <row r="105" spans="1:10" ht="31.5">
      <c r="A105" s="156" t="s">
        <v>39</v>
      </c>
      <c r="B105" s="118" t="s">
        <v>40</v>
      </c>
      <c r="C105" s="66">
        <f>C106+C108+C115+C110+C112</f>
        <v>122691317.44</v>
      </c>
      <c r="D105" s="46" t="e">
        <f>D106+D108+#REF!+#REF!+D116+#REF!+#REF!</f>
        <v>#REF!</v>
      </c>
      <c r="E105" s="5" t="e">
        <f>E106+E108+#REF!+#REF!+E116+#REF!+#REF!</f>
        <v>#REF!</v>
      </c>
      <c r="F105" s="5" t="e">
        <f>F106+F108+#REF!+#REF!+F116+#REF!+#REF!</f>
        <v>#REF!</v>
      </c>
      <c r="G105" s="8"/>
      <c r="I105" s="23"/>
      <c r="J105" s="2"/>
    </row>
    <row r="106" spans="1:10" s="4" customFormat="1" ht="31.5">
      <c r="A106" s="92" t="s">
        <v>30</v>
      </c>
      <c r="B106" s="118" t="s">
        <v>31</v>
      </c>
      <c r="C106" s="66">
        <f>C107</f>
        <v>622000</v>
      </c>
      <c r="D106" s="46">
        <f>D107</f>
        <v>0</v>
      </c>
      <c r="E106" s="5">
        <f>E107</f>
        <v>825.9</v>
      </c>
      <c r="F106" s="5">
        <f>F107</f>
        <v>0</v>
      </c>
      <c r="G106" s="2"/>
      <c r="I106" s="21"/>
      <c r="J106" s="22"/>
    </row>
    <row r="107" spans="1:10" s="4" customFormat="1" ht="31.5">
      <c r="A107" s="89" t="s">
        <v>137</v>
      </c>
      <c r="B107" s="119" t="s">
        <v>32</v>
      </c>
      <c r="C107" s="68">
        <f>650400+40700-69100</f>
        <v>622000</v>
      </c>
      <c r="D107" s="10"/>
      <c r="E107" s="30">
        <v>825.9</v>
      </c>
      <c r="F107" s="30"/>
      <c r="G107" s="2"/>
      <c r="I107" s="21"/>
      <c r="J107" s="22"/>
    </row>
    <row r="108" spans="1:10" ht="47.25">
      <c r="A108" s="92" t="s">
        <v>33</v>
      </c>
      <c r="B108" s="118" t="s">
        <v>34</v>
      </c>
      <c r="C108" s="66">
        <f>C109</f>
        <v>281800</v>
      </c>
      <c r="D108" s="46">
        <f>D109</f>
        <v>0</v>
      </c>
      <c r="E108" s="5">
        <f>E109</f>
        <v>280.8</v>
      </c>
      <c r="F108" s="5">
        <f>F109</f>
        <v>0</v>
      </c>
      <c r="J108" s="2"/>
    </row>
    <row r="109" spans="1:10" ht="47.25">
      <c r="A109" s="89" t="s">
        <v>136</v>
      </c>
      <c r="B109" s="119" t="s">
        <v>35</v>
      </c>
      <c r="C109" s="68">
        <f>275600-21400+27600</f>
        <v>281800</v>
      </c>
      <c r="D109" s="11"/>
      <c r="E109" s="36">
        <v>280.8</v>
      </c>
      <c r="F109" s="36"/>
      <c r="G109" s="4"/>
      <c r="I109" s="22"/>
      <c r="J109" s="2"/>
    </row>
    <row r="110" spans="1:29" s="1" customFormat="1" ht="63">
      <c r="A110" s="92" t="s">
        <v>231</v>
      </c>
      <c r="B110" s="118" t="s">
        <v>229</v>
      </c>
      <c r="C110" s="66">
        <f>C111</f>
        <v>2880600</v>
      </c>
      <c r="D110" s="11"/>
      <c r="E110" s="36"/>
      <c r="F110" s="36"/>
      <c r="G110" s="4"/>
      <c r="H110" s="4"/>
      <c r="I110" s="22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10" ht="63">
      <c r="A111" s="89" t="s">
        <v>230</v>
      </c>
      <c r="B111" s="119" t="s">
        <v>232</v>
      </c>
      <c r="C111" s="68">
        <f>3160400-279800</f>
        <v>2880600</v>
      </c>
      <c r="D111" s="11"/>
      <c r="E111" s="36"/>
      <c r="F111" s="36"/>
      <c r="G111" s="4"/>
      <c r="I111" s="22"/>
      <c r="J111" s="2"/>
    </row>
    <row r="112" spans="1:29" s="1" customFormat="1" ht="94.5">
      <c r="A112" s="92" t="s">
        <v>236</v>
      </c>
      <c r="B112" s="118" t="s">
        <v>234</v>
      </c>
      <c r="C112" s="66">
        <f>C113+C114</f>
        <v>1803200</v>
      </c>
      <c r="D112" s="11"/>
      <c r="E112" s="36"/>
      <c r="F112" s="36"/>
      <c r="G112" s="4"/>
      <c r="H112" s="4"/>
      <c r="I112" s="22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10" ht="94.5">
      <c r="A113" s="89" t="s">
        <v>235</v>
      </c>
      <c r="B113" s="119" t="s">
        <v>233</v>
      </c>
      <c r="C113" s="68">
        <f>1780100-20900</f>
        <v>1759200</v>
      </c>
      <c r="D113" s="11"/>
      <c r="E113" s="36"/>
      <c r="F113" s="36"/>
      <c r="G113" s="4"/>
      <c r="I113" s="22"/>
      <c r="J113" s="2"/>
    </row>
    <row r="114" spans="1:10" ht="110.25">
      <c r="A114" s="89" t="s">
        <v>256</v>
      </c>
      <c r="B114" s="119" t="s">
        <v>233</v>
      </c>
      <c r="C114" s="68">
        <f>44500-500</f>
        <v>44000</v>
      </c>
      <c r="D114" s="11"/>
      <c r="E114" s="36"/>
      <c r="F114" s="36"/>
      <c r="G114" s="4"/>
      <c r="I114" s="22"/>
      <c r="J114" s="2"/>
    </row>
    <row r="115" spans="1:29" s="18" customFormat="1" ht="15.75">
      <c r="A115" s="92" t="s">
        <v>36</v>
      </c>
      <c r="B115" s="118" t="s">
        <v>37</v>
      </c>
      <c r="C115" s="66">
        <f>C116</f>
        <v>117103717.44</v>
      </c>
      <c r="D115" s="13"/>
      <c r="E115" s="37">
        <v>1620</v>
      </c>
      <c r="F115" s="37">
        <v>1620</v>
      </c>
      <c r="G115" s="17"/>
      <c r="H115" s="17"/>
      <c r="I115" s="126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18" customFormat="1" ht="15.75">
      <c r="A116" s="89" t="s">
        <v>43</v>
      </c>
      <c r="B116" s="119" t="s">
        <v>38</v>
      </c>
      <c r="C116" s="68">
        <f>C117+C118+C119+C120+C121+C122+C123+C124+C125+C126+C127+C128+C129+C130+C131+C132+C133</f>
        <v>117103717.44</v>
      </c>
      <c r="D116" s="46">
        <f>D117</f>
        <v>0</v>
      </c>
      <c r="E116" s="5">
        <f>E117</f>
        <v>80958.7</v>
      </c>
      <c r="F116" s="5">
        <f>F117</f>
        <v>84750.9</v>
      </c>
      <c r="G116" s="2"/>
      <c r="H116" s="17"/>
      <c r="I116" s="21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18" customFormat="1" ht="47.25">
      <c r="A117" s="89" t="s">
        <v>133</v>
      </c>
      <c r="B117" s="119" t="s">
        <v>38</v>
      </c>
      <c r="C117" s="68">
        <v>881000</v>
      </c>
      <c r="D117" s="47">
        <f>SUM(D118:D131)</f>
        <v>0</v>
      </c>
      <c r="E117" s="6">
        <f>SUM(E118:E131)</f>
        <v>80958.7</v>
      </c>
      <c r="F117" s="6">
        <f>SUM(F118:F131)</f>
        <v>84750.9</v>
      </c>
      <c r="G117" s="2"/>
      <c r="H117" s="17"/>
      <c r="I117" s="21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18" customFormat="1" ht="31.5">
      <c r="A118" s="89" t="s">
        <v>138</v>
      </c>
      <c r="B118" s="119" t="s">
        <v>38</v>
      </c>
      <c r="C118" s="68">
        <v>75000</v>
      </c>
      <c r="D118" s="10"/>
      <c r="E118" s="38">
        <v>61703</v>
      </c>
      <c r="F118" s="37">
        <v>63992.2</v>
      </c>
      <c r="G118" s="17"/>
      <c r="H118" s="17"/>
      <c r="I118" s="126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18" customFormat="1" ht="94.5">
      <c r="A119" s="89" t="s">
        <v>135</v>
      </c>
      <c r="B119" s="119" t="s">
        <v>38</v>
      </c>
      <c r="C119" s="68">
        <v>6000</v>
      </c>
      <c r="D119" s="10"/>
      <c r="E119" s="37">
        <v>19255.7</v>
      </c>
      <c r="F119" s="37">
        <v>20758.7</v>
      </c>
      <c r="G119" s="17"/>
      <c r="H119" s="17"/>
      <c r="I119" s="126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9" s="16" customFormat="1" ht="78.75">
      <c r="A120" s="89" t="s">
        <v>84</v>
      </c>
      <c r="B120" s="119" t="s">
        <v>38</v>
      </c>
      <c r="C120" s="68">
        <v>3300</v>
      </c>
      <c r="D120" s="10"/>
      <c r="E120" s="38"/>
      <c r="F120" s="37"/>
      <c r="G120" s="17"/>
      <c r="I120" s="126"/>
    </row>
    <row r="121" spans="1:9" s="16" customFormat="1" ht="94.5">
      <c r="A121" s="89" t="s">
        <v>139</v>
      </c>
      <c r="B121" s="119" t="s">
        <v>38</v>
      </c>
      <c r="C121" s="68">
        <v>8600</v>
      </c>
      <c r="D121" s="10"/>
      <c r="E121" s="37"/>
      <c r="F121" s="37"/>
      <c r="G121" s="17"/>
      <c r="I121" s="126"/>
    </row>
    <row r="122" spans="1:29" s="18" customFormat="1" ht="78.75">
      <c r="A122" s="91" t="s">
        <v>128</v>
      </c>
      <c r="B122" s="119" t="s">
        <v>38</v>
      </c>
      <c r="C122" s="68">
        <f>4400-600</f>
        <v>3800</v>
      </c>
      <c r="D122" s="10"/>
      <c r="E122" s="37"/>
      <c r="F122" s="37"/>
      <c r="G122" s="17"/>
      <c r="H122" s="17"/>
      <c r="I122" s="126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18" customFormat="1" ht="78.75">
      <c r="A123" s="91" t="s">
        <v>129</v>
      </c>
      <c r="B123" s="119" t="s">
        <v>38</v>
      </c>
      <c r="C123" s="68">
        <f>206700-5500-25200</f>
        <v>176000</v>
      </c>
      <c r="D123" s="12"/>
      <c r="E123" s="39"/>
      <c r="F123" s="39"/>
      <c r="G123" s="16"/>
      <c r="H123" s="17"/>
      <c r="I123" s="12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9" s="16" customFormat="1" ht="47.25">
      <c r="A124" s="89" t="s">
        <v>140</v>
      </c>
      <c r="B124" s="119" t="s">
        <v>38</v>
      </c>
      <c r="C124" s="68">
        <f>60023400-3252300+1134200</f>
        <v>57905300</v>
      </c>
      <c r="D124" s="12"/>
      <c r="E124" s="39"/>
      <c r="F124" s="39"/>
      <c r="I124" s="127"/>
    </row>
    <row r="125" spans="1:29" s="18" customFormat="1" ht="63">
      <c r="A125" s="89" t="s">
        <v>131</v>
      </c>
      <c r="B125" s="119" t="s">
        <v>38</v>
      </c>
      <c r="C125" s="68">
        <f>46460700-1444700+6300</f>
        <v>45022300</v>
      </c>
      <c r="D125" s="10"/>
      <c r="E125" s="37"/>
      <c r="F125" s="37"/>
      <c r="G125" s="17"/>
      <c r="H125" s="17"/>
      <c r="I125" s="126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9" s="16" customFormat="1" ht="35.25" customHeight="1">
      <c r="A126" s="89" t="s">
        <v>85</v>
      </c>
      <c r="B126" s="119" t="s">
        <v>38</v>
      </c>
      <c r="C126" s="68">
        <f>1258900+88100</f>
        <v>1347000</v>
      </c>
      <c r="D126" s="10"/>
      <c r="E126" s="37"/>
      <c r="F126" s="37"/>
      <c r="G126" s="17"/>
      <c r="I126" s="126"/>
    </row>
    <row r="127" spans="1:9" s="16" customFormat="1" ht="78.75">
      <c r="A127" s="89" t="s">
        <v>144</v>
      </c>
      <c r="B127" s="119" t="s">
        <v>38</v>
      </c>
      <c r="C127" s="68">
        <v>78400</v>
      </c>
      <c r="D127" s="10"/>
      <c r="E127" s="37"/>
      <c r="F127" s="37"/>
      <c r="G127" s="17"/>
      <c r="I127" s="126"/>
    </row>
    <row r="128" spans="1:9" s="16" customFormat="1" ht="78.75">
      <c r="A128" s="89" t="s">
        <v>145</v>
      </c>
      <c r="B128" s="119" t="s">
        <v>38</v>
      </c>
      <c r="C128" s="68">
        <f>12234300-1635100</f>
        <v>10599200</v>
      </c>
      <c r="D128" s="12"/>
      <c r="E128" s="39"/>
      <c r="F128" s="39"/>
      <c r="I128" s="127"/>
    </row>
    <row r="129" spans="1:9" s="16" customFormat="1" ht="78.75">
      <c r="A129" s="91" t="s">
        <v>141</v>
      </c>
      <c r="B129" s="119" t="s">
        <v>38</v>
      </c>
      <c r="C129" s="68">
        <f>33800+200</f>
        <v>34000</v>
      </c>
      <c r="D129" s="12"/>
      <c r="E129" s="39"/>
      <c r="F129" s="39"/>
      <c r="I129" s="127"/>
    </row>
    <row r="130" spans="1:9" s="4" customFormat="1" ht="94.5">
      <c r="A130" s="89" t="s">
        <v>142</v>
      </c>
      <c r="B130" s="119" t="s">
        <v>38</v>
      </c>
      <c r="C130" s="68">
        <v>881000</v>
      </c>
      <c r="D130" s="12"/>
      <c r="E130" s="39"/>
      <c r="F130" s="39"/>
      <c r="G130" s="16"/>
      <c r="I130" s="127"/>
    </row>
    <row r="131" spans="1:9" s="4" customFormat="1" ht="78.75">
      <c r="A131" s="89" t="s">
        <v>143</v>
      </c>
      <c r="B131" s="119" t="s">
        <v>38</v>
      </c>
      <c r="C131" s="68">
        <v>4300</v>
      </c>
      <c r="D131" s="12"/>
      <c r="E131" s="39"/>
      <c r="F131" s="39"/>
      <c r="G131" s="16"/>
      <c r="I131" s="127"/>
    </row>
    <row r="132" spans="1:9" s="4" customFormat="1" ht="47.25">
      <c r="A132" s="89" t="s">
        <v>241</v>
      </c>
      <c r="B132" s="119" t="s">
        <v>38</v>
      </c>
      <c r="C132" s="171">
        <f>36540+24357.44</f>
        <v>60897.44</v>
      </c>
      <c r="D132" s="12"/>
      <c r="E132" s="61"/>
      <c r="F132" s="61"/>
      <c r="G132" s="16"/>
      <c r="I132" s="127"/>
    </row>
    <row r="133" spans="1:9" s="4" customFormat="1" ht="47.25">
      <c r="A133" s="89" t="s">
        <v>242</v>
      </c>
      <c r="B133" s="119" t="s">
        <v>38</v>
      </c>
      <c r="C133" s="171">
        <v>17620</v>
      </c>
      <c r="D133" s="12"/>
      <c r="E133" s="61"/>
      <c r="F133" s="61"/>
      <c r="G133" s="16"/>
      <c r="I133" s="127"/>
    </row>
    <row r="134" spans="1:10" ht="15.75">
      <c r="A134" s="92" t="s">
        <v>187</v>
      </c>
      <c r="B134" s="120" t="s">
        <v>50</v>
      </c>
      <c r="C134" s="66">
        <f>C135+C137</f>
        <v>1659980</v>
      </c>
      <c r="D134" s="46" t="e">
        <f>#REF!+#REF!+D135</f>
        <v>#REF!</v>
      </c>
      <c r="E134" s="5" t="e">
        <f>#REF!+#REF!+E135</f>
        <v>#REF!</v>
      </c>
      <c r="F134" s="5" t="e">
        <f>#REF!+#REF!+F135</f>
        <v>#REF!</v>
      </c>
      <c r="G134" s="4"/>
      <c r="I134" s="22"/>
      <c r="J134" s="2"/>
    </row>
    <row r="135" spans="1:6" ht="63">
      <c r="A135" s="92" t="s">
        <v>17</v>
      </c>
      <c r="B135" s="120" t="s">
        <v>18</v>
      </c>
      <c r="C135" s="66">
        <f>C136</f>
        <v>1980</v>
      </c>
      <c r="E135" s="36">
        <v>14.4</v>
      </c>
      <c r="F135" s="30"/>
    </row>
    <row r="136" spans="1:10" s="4" customFormat="1" ht="51" customHeight="1">
      <c r="A136" s="131" t="s">
        <v>186</v>
      </c>
      <c r="B136" s="121" t="s">
        <v>19</v>
      </c>
      <c r="C136" s="68">
        <f>2200-220</f>
        <v>1980</v>
      </c>
      <c r="D136" s="10"/>
      <c r="E136" s="30"/>
      <c r="F136" s="30"/>
      <c r="G136" s="2"/>
      <c r="I136" s="21"/>
      <c r="J136" s="22"/>
    </row>
    <row r="137" spans="1:9" s="4" customFormat="1" ht="63">
      <c r="A137" s="130" t="s">
        <v>183</v>
      </c>
      <c r="B137" s="120" t="s">
        <v>184</v>
      </c>
      <c r="C137" s="66">
        <f>C138</f>
        <v>1658000</v>
      </c>
      <c r="D137" s="10"/>
      <c r="E137" s="128"/>
      <c r="F137" s="128"/>
      <c r="G137" s="2"/>
      <c r="I137" s="21"/>
    </row>
    <row r="138" spans="1:10" ht="57.75" customHeight="1">
      <c r="A138" s="131" t="s">
        <v>188</v>
      </c>
      <c r="B138" s="121" t="s">
        <v>185</v>
      </c>
      <c r="C138" s="68">
        <f>1745300-87300</f>
        <v>1658000</v>
      </c>
      <c r="E138" s="128"/>
      <c r="F138" s="128"/>
      <c r="J138" s="2"/>
    </row>
    <row r="139" spans="1:10" ht="16.5" thickBot="1">
      <c r="A139" s="157" t="s">
        <v>55</v>
      </c>
      <c r="B139" s="120"/>
      <c r="C139" s="66">
        <f>C86+C87</f>
        <v>380235042.44</v>
      </c>
      <c r="D139" s="48" t="e">
        <f>D86+D87</f>
        <v>#REF!</v>
      </c>
      <c r="E139" s="9" t="e">
        <f>E86+E87</f>
        <v>#REF!</v>
      </c>
      <c r="F139" s="9" t="e">
        <f>F86+F87</f>
        <v>#REF!</v>
      </c>
      <c r="G139" s="4"/>
      <c r="I139" s="22"/>
      <c r="J139" s="2"/>
    </row>
    <row r="140" spans="4:9" ht="12.75">
      <c r="D140" s="14"/>
      <c r="E140" s="22"/>
      <c r="F140" s="4"/>
      <c r="G140" s="4"/>
      <c r="I140" s="22"/>
    </row>
    <row r="141" ht="12.75">
      <c r="C141" s="129"/>
    </row>
    <row r="149" spans="1:10" s="4" customFormat="1" ht="12.75">
      <c r="A149" s="41"/>
      <c r="B149" s="122"/>
      <c r="C149" s="123"/>
      <c r="D149" s="10"/>
      <c r="E149" s="21"/>
      <c r="F149" s="2"/>
      <c r="G149" s="2"/>
      <c r="I149" s="21"/>
      <c r="J149" s="22"/>
    </row>
    <row r="150" spans="1:10" s="4" customFormat="1" ht="12.75">
      <c r="A150" s="41"/>
      <c r="B150" s="122"/>
      <c r="C150" s="123"/>
      <c r="D150" s="10"/>
      <c r="E150" s="21"/>
      <c r="F150" s="2"/>
      <c r="G150" s="2"/>
      <c r="I150" s="21"/>
      <c r="J150" s="22"/>
    </row>
    <row r="151" spans="1:10" s="8" customFormat="1" ht="12.75">
      <c r="A151" s="41"/>
      <c r="B151" s="122"/>
      <c r="C151" s="123"/>
      <c r="D151" s="10"/>
      <c r="E151" s="21"/>
      <c r="F151" s="2"/>
      <c r="G151" s="2"/>
      <c r="I151" s="21"/>
      <c r="J151" s="23"/>
    </row>
    <row r="152" spans="1:10" s="4" customFormat="1" ht="12.75">
      <c r="A152" s="41"/>
      <c r="B152" s="122"/>
      <c r="C152" s="123"/>
      <c r="D152" s="11"/>
      <c r="E152" s="22"/>
      <c r="I152" s="22"/>
      <c r="J152" s="22"/>
    </row>
    <row r="153" spans="1:10" s="8" customFormat="1" ht="12.75">
      <c r="A153" s="41"/>
      <c r="B153" s="122"/>
      <c r="C153" s="123"/>
      <c r="D153" s="12"/>
      <c r="E153" s="22"/>
      <c r="F153" s="4"/>
      <c r="G153" s="4"/>
      <c r="I153" s="22"/>
      <c r="J153" s="23"/>
    </row>
    <row r="154" spans="1:10" s="4" customFormat="1" ht="12.75">
      <c r="A154" s="41"/>
      <c r="B154" s="122"/>
      <c r="C154" s="123"/>
      <c r="D154" s="10"/>
      <c r="E154" s="23"/>
      <c r="F154" s="8"/>
      <c r="G154" s="8"/>
      <c r="I154" s="23"/>
      <c r="J154" s="22"/>
    </row>
    <row r="155" spans="1:10" s="8" customFormat="1" ht="12.75">
      <c r="A155" s="41"/>
      <c r="B155" s="122"/>
      <c r="C155" s="123"/>
      <c r="D155" s="12"/>
      <c r="E155" s="22"/>
      <c r="F155" s="4"/>
      <c r="G155" s="4"/>
      <c r="I155" s="22"/>
      <c r="J155" s="23"/>
    </row>
    <row r="156" spans="1:10" s="8" customFormat="1" ht="12.75">
      <c r="A156" s="41"/>
      <c r="B156" s="122"/>
      <c r="C156" s="123"/>
      <c r="D156" s="10"/>
      <c r="E156" s="23"/>
      <c r="I156" s="23"/>
      <c r="J156" s="23"/>
    </row>
    <row r="157" spans="1:10" s="8" customFormat="1" ht="12.75">
      <c r="A157" s="41"/>
      <c r="B157" s="122"/>
      <c r="C157" s="123"/>
      <c r="D157" s="12"/>
      <c r="E157" s="22"/>
      <c r="F157" s="4"/>
      <c r="G157" s="4"/>
      <c r="I157" s="22"/>
      <c r="J157" s="23"/>
    </row>
    <row r="158" spans="1:10" s="7" customFormat="1" ht="15.75">
      <c r="A158" s="41"/>
      <c r="B158" s="122"/>
      <c r="C158" s="123"/>
      <c r="D158" s="10"/>
      <c r="E158" s="23"/>
      <c r="F158" s="8"/>
      <c r="G158" s="8"/>
      <c r="I158" s="23"/>
      <c r="J158" s="24"/>
    </row>
    <row r="159" spans="4:9" ht="12.75">
      <c r="D159" s="13"/>
      <c r="E159" s="23"/>
      <c r="F159" s="8"/>
      <c r="G159" s="8"/>
      <c r="I159" s="23"/>
    </row>
    <row r="160" spans="4:9" ht="12.75">
      <c r="D160" s="13"/>
      <c r="E160" s="23"/>
      <c r="F160" s="8"/>
      <c r="G160" s="8"/>
      <c r="I160" s="23"/>
    </row>
    <row r="161" spans="4:9" ht="15.75">
      <c r="D161" s="11"/>
      <c r="E161" s="24"/>
      <c r="F161" s="7"/>
      <c r="G161" s="7"/>
      <c r="I161" s="24"/>
    </row>
  </sheetData>
  <sheetProtection/>
  <mergeCells count="6">
    <mergeCell ref="B1:C1"/>
    <mergeCell ref="A7:C7"/>
    <mergeCell ref="B4:C4"/>
    <mergeCell ref="B5:C5"/>
    <mergeCell ref="A2:F2"/>
    <mergeCell ref="A3:F3"/>
  </mergeCells>
  <printOptions/>
  <pageMargins left="0.7874015748031497" right="0.2755905511811024" top="0.3937007874015748" bottom="0.2755905511811024" header="0.5118110236220472" footer="0.15748031496062992"/>
  <pageSetup fitToHeight="0" fitToWidth="1" horizontalDpi="600" verticalDpi="600" orientation="portrait" paperSize="9" scale="83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7"/>
  <sheetViews>
    <sheetView view="pageBreakPreview" zoomScale="91" zoomScaleSheetLayoutView="91" zoomScalePageLayoutView="0" workbookViewId="0" topLeftCell="A1">
      <selection activeCell="G105" sqref="G105"/>
    </sheetView>
  </sheetViews>
  <sheetFormatPr defaultColWidth="9.00390625" defaultRowHeight="12.75"/>
  <cols>
    <col min="1" max="1" width="65.00390625" style="8" customWidth="1"/>
    <col min="2" max="2" width="24.125" style="42" customWidth="1"/>
    <col min="3" max="3" width="0.12890625" style="8" hidden="1" customWidth="1"/>
    <col min="4" max="4" width="15.25390625" style="74" hidden="1" customWidth="1"/>
    <col min="5" max="5" width="20.25390625" style="96" customWidth="1"/>
    <col min="6" max="6" width="15.25390625" style="97" hidden="1" customWidth="1"/>
    <col min="7" max="7" width="18.375" style="95" customWidth="1"/>
    <col min="8" max="8" width="18.375" style="2" customWidth="1"/>
    <col min="9" max="9" width="21.375" style="2" customWidth="1"/>
    <col min="10" max="10" width="15.25390625" style="2" customWidth="1"/>
    <col min="11" max="11" width="14.625" style="2" customWidth="1"/>
    <col min="12" max="12" width="15.125" style="2" customWidth="1"/>
    <col min="13" max="30" width="9.125" style="2" customWidth="1"/>
  </cols>
  <sheetData>
    <row r="1" spans="1:7" ht="12.75">
      <c r="A1" s="26"/>
      <c r="B1" s="190" t="s">
        <v>152</v>
      </c>
      <c r="C1" s="190"/>
      <c r="D1" s="190"/>
      <c r="E1" s="190"/>
      <c r="F1" s="190"/>
      <c r="G1" s="190"/>
    </row>
    <row r="2" spans="1:7" ht="12.75" customHeight="1">
      <c r="A2" s="41"/>
      <c r="B2" s="188" t="s">
        <v>257</v>
      </c>
      <c r="C2" s="188"/>
      <c r="D2" s="188"/>
      <c r="E2" s="188"/>
      <c r="F2" s="188"/>
      <c r="G2" s="188"/>
    </row>
    <row r="3" spans="1:7" ht="41.25" customHeight="1">
      <c r="A3" s="41"/>
      <c r="B3" s="189" t="s">
        <v>206</v>
      </c>
      <c r="C3" s="189"/>
      <c r="D3" s="189"/>
      <c r="E3" s="189"/>
      <c r="F3" s="189"/>
      <c r="G3" s="189"/>
    </row>
    <row r="4" spans="1:7" ht="17.25" customHeight="1">
      <c r="A4" s="41"/>
      <c r="B4" s="199"/>
      <c r="C4" s="199"/>
      <c r="D4" s="76"/>
      <c r="E4" s="186" t="s">
        <v>237</v>
      </c>
      <c r="F4" s="192"/>
      <c r="G4" s="192"/>
    </row>
    <row r="5" spans="1:6" ht="12.75" customHeight="1">
      <c r="A5" s="27"/>
      <c r="B5" s="189"/>
      <c r="C5" s="189"/>
      <c r="D5" s="75"/>
      <c r="E5" s="75"/>
      <c r="F5" s="75"/>
    </row>
    <row r="6" spans="1:3" ht="12.75">
      <c r="A6" s="28"/>
      <c r="B6" s="29"/>
      <c r="C6" s="29"/>
    </row>
    <row r="7" spans="1:7" ht="18.75">
      <c r="A7" s="184" t="s">
        <v>182</v>
      </c>
      <c r="B7" s="184"/>
      <c r="C7" s="184"/>
      <c r="D7" s="184"/>
      <c r="E7" s="184"/>
      <c r="F7" s="184"/>
      <c r="G7" s="184"/>
    </row>
    <row r="8" spans="1:3" ht="12.75">
      <c r="A8" s="28"/>
      <c r="B8" s="81"/>
      <c r="C8" s="28"/>
    </row>
    <row r="9" spans="1:7" ht="13.5" customHeight="1" thickBot="1">
      <c r="A9" s="28"/>
      <c r="B9" s="191" t="s">
        <v>146</v>
      </c>
      <c r="C9" s="191"/>
      <c r="D9" s="191"/>
      <c r="E9" s="191"/>
      <c r="F9" s="191"/>
      <c r="G9" s="191"/>
    </row>
    <row r="10" spans="1:7" ht="20.25" customHeight="1">
      <c r="A10" s="193" t="s">
        <v>52</v>
      </c>
      <c r="B10" s="195" t="s">
        <v>51</v>
      </c>
      <c r="C10" s="83"/>
      <c r="D10" s="83"/>
      <c r="E10" s="197" t="s">
        <v>151</v>
      </c>
      <c r="F10" s="197"/>
      <c r="G10" s="198"/>
    </row>
    <row r="11" spans="1:7" ht="34.5" customHeight="1" thickBot="1">
      <c r="A11" s="194"/>
      <c r="B11" s="196"/>
      <c r="C11" s="82" t="s">
        <v>56</v>
      </c>
      <c r="D11" s="84" t="s">
        <v>148</v>
      </c>
      <c r="E11" s="82">
        <v>2016</v>
      </c>
      <c r="F11" s="98" t="s">
        <v>148</v>
      </c>
      <c r="G11" s="99">
        <v>2017</v>
      </c>
    </row>
    <row r="12" spans="1:7" ht="15.75">
      <c r="A12" s="162" t="s">
        <v>78</v>
      </c>
      <c r="B12" s="163"/>
      <c r="C12" s="164"/>
      <c r="D12" s="165"/>
      <c r="E12" s="166"/>
      <c r="F12" s="167"/>
      <c r="G12" s="166"/>
    </row>
    <row r="13" spans="1:7" s="133" customFormat="1" ht="15.75">
      <c r="A13" s="130" t="s">
        <v>15</v>
      </c>
      <c r="B13" s="63" t="s">
        <v>45</v>
      </c>
      <c r="C13" s="73" t="e">
        <f>C15+C26+C40+C43+C34+#REF!+C52+C55</f>
        <v>#REF!</v>
      </c>
      <c r="D13" s="73" t="e">
        <f>D15+D26+D40+D43+D34+#REF!+D52+D55</f>
        <v>#REF!</v>
      </c>
      <c r="E13" s="73">
        <f>E14+E43</f>
        <v>138717280</v>
      </c>
      <c r="F13" s="73" t="e">
        <f>F14+F43</f>
        <v>#REF!</v>
      </c>
      <c r="G13" s="73">
        <f>G14+G43</f>
        <v>142930030</v>
      </c>
    </row>
    <row r="14" spans="1:7" s="133" customFormat="1" ht="15.75">
      <c r="A14" s="130" t="s">
        <v>11</v>
      </c>
      <c r="B14" s="63"/>
      <c r="C14" s="73" t="e">
        <f>C15+C26+C40</f>
        <v>#REF!</v>
      </c>
      <c r="D14" s="73">
        <f>D15+D26+D40</f>
        <v>0.1365</v>
      </c>
      <c r="E14" s="73">
        <f>E15+E26+E40+E20+E34</f>
        <v>134390440</v>
      </c>
      <c r="F14" s="73" t="e">
        <f>F15+F26+F40+F20+F34</f>
        <v>#REF!</v>
      </c>
      <c r="G14" s="73">
        <f>G15+G26+G40+G20+G34</f>
        <v>138469130</v>
      </c>
    </row>
    <row r="15" spans="1:30" s="134" customFormat="1" ht="15.75">
      <c r="A15" s="132" t="s">
        <v>58</v>
      </c>
      <c r="B15" s="63" t="s">
        <v>59</v>
      </c>
      <c r="C15" s="66">
        <f>C16</f>
        <v>150000400</v>
      </c>
      <c r="D15" s="66">
        <f>D16</f>
        <v>0.1245</v>
      </c>
      <c r="E15" s="66">
        <f>E16</f>
        <v>128266000</v>
      </c>
      <c r="F15" s="66">
        <f>F16</f>
        <v>0.1332</v>
      </c>
      <c r="G15" s="66">
        <f>G16</f>
        <v>132113000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</row>
    <row r="16" spans="1:30" s="138" customFormat="1" ht="15.75">
      <c r="A16" s="132" t="s">
        <v>53</v>
      </c>
      <c r="B16" s="63" t="s">
        <v>60</v>
      </c>
      <c r="C16" s="66">
        <f>C17+C18+C19</f>
        <v>150000400</v>
      </c>
      <c r="D16" s="66">
        <f>D17+D18+D19</f>
        <v>0.1245</v>
      </c>
      <c r="E16" s="66">
        <f>E17+E18+E19</f>
        <v>128266000</v>
      </c>
      <c r="F16" s="66">
        <f>F17+F18+F19</f>
        <v>0.1332</v>
      </c>
      <c r="G16" s="66">
        <f>G17+G18+G19</f>
        <v>132113000</v>
      </c>
      <c r="H16" s="136"/>
      <c r="I16" s="136"/>
      <c r="J16" s="136"/>
      <c r="K16" s="137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</row>
    <row r="17" spans="1:30" s="134" customFormat="1" ht="78.75">
      <c r="A17" s="131" t="s">
        <v>95</v>
      </c>
      <c r="B17" s="65" t="s">
        <v>86</v>
      </c>
      <c r="C17" s="68">
        <v>149942410</v>
      </c>
      <c r="D17" s="145">
        <f>4.15/100</f>
        <v>0.0415</v>
      </c>
      <c r="E17" s="68">
        <v>128146590</v>
      </c>
      <c r="F17" s="119">
        <f>4.44/100</f>
        <v>0.0444</v>
      </c>
      <c r="G17" s="68">
        <v>131990008</v>
      </c>
      <c r="H17" s="133"/>
      <c r="I17" s="133"/>
      <c r="J17" s="139"/>
      <c r="K17" s="140"/>
      <c r="L17" s="140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</row>
    <row r="18" spans="1:30" s="134" customFormat="1" ht="112.5" customHeight="1">
      <c r="A18" s="131" t="s">
        <v>200</v>
      </c>
      <c r="B18" s="65" t="s">
        <v>81</v>
      </c>
      <c r="C18" s="68">
        <v>11595</v>
      </c>
      <c r="D18" s="145">
        <f>4.15/100</f>
        <v>0.0415</v>
      </c>
      <c r="E18" s="68">
        <v>44826</v>
      </c>
      <c r="F18" s="119">
        <f>4.44/100</f>
        <v>0.0444</v>
      </c>
      <c r="G18" s="68">
        <v>46170</v>
      </c>
      <c r="H18" s="133"/>
      <c r="I18" s="133"/>
      <c r="J18" s="139"/>
      <c r="K18" s="140"/>
      <c r="L18" s="140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</row>
    <row r="19" spans="1:30" s="134" customFormat="1" ht="47.25">
      <c r="A19" s="131" t="s">
        <v>97</v>
      </c>
      <c r="B19" s="65" t="s">
        <v>96</v>
      </c>
      <c r="C19" s="68">
        <v>46395</v>
      </c>
      <c r="D19" s="145">
        <f>4.15/100</f>
        <v>0.0415</v>
      </c>
      <c r="E19" s="68">
        <v>74584</v>
      </c>
      <c r="F19" s="119">
        <f>4.44/100</f>
        <v>0.0444</v>
      </c>
      <c r="G19" s="68">
        <v>76822</v>
      </c>
      <c r="H19" s="133"/>
      <c r="I19" s="133"/>
      <c r="J19" s="139"/>
      <c r="K19" s="140"/>
      <c r="L19" s="140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</row>
    <row r="20" spans="1:30" s="134" customFormat="1" ht="33" customHeight="1">
      <c r="A20" s="130" t="s">
        <v>116</v>
      </c>
      <c r="B20" s="63" t="s">
        <v>117</v>
      </c>
      <c r="C20" s="66">
        <f>C21</f>
        <v>2059400</v>
      </c>
      <c r="D20" s="66">
        <f>D21</f>
        <v>0.4243</v>
      </c>
      <c r="E20" s="66">
        <f>E21</f>
        <v>2788440</v>
      </c>
      <c r="F20" s="66">
        <f>F21</f>
        <v>0.1769</v>
      </c>
      <c r="G20" s="66">
        <f>G21</f>
        <v>2911130</v>
      </c>
      <c r="H20" s="133"/>
      <c r="I20" s="133"/>
      <c r="J20" s="139"/>
      <c r="K20" s="140"/>
      <c r="L20" s="140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</row>
    <row r="21" spans="1:30" s="138" customFormat="1" ht="31.5">
      <c r="A21" s="130" t="s">
        <v>114</v>
      </c>
      <c r="B21" s="63" t="s">
        <v>115</v>
      </c>
      <c r="C21" s="66">
        <f>C22+C23+C24+C25</f>
        <v>2059400</v>
      </c>
      <c r="D21" s="66">
        <f>D22+D23+D24+D25</f>
        <v>0.4243</v>
      </c>
      <c r="E21" s="66">
        <f>E22+E23+E24+E25</f>
        <v>2788440</v>
      </c>
      <c r="F21" s="66">
        <f>F22+F23+F24+F25</f>
        <v>0.1769</v>
      </c>
      <c r="G21" s="66">
        <f>G22+G23+G24+G25</f>
        <v>2911130</v>
      </c>
      <c r="H21" s="136"/>
      <c r="I21" s="136"/>
      <c r="J21" s="141"/>
      <c r="K21" s="137"/>
      <c r="L21" s="137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</row>
    <row r="22" spans="1:30" s="134" customFormat="1" ht="78.75">
      <c r="A22" s="155" t="s">
        <v>196</v>
      </c>
      <c r="B22" s="67" t="s">
        <v>113</v>
      </c>
      <c r="C22" s="68">
        <v>885542</v>
      </c>
      <c r="D22" s="145">
        <f>9.09/100</f>
        <v>0.0909</v>
      </c>
      <c r="E22" s="68">
        <v>1005380</v>
      </c>
      <c r="F22" s="119">
        <f>4.76/100</f>
        <v>0.047599999999999996</v>
      </c>
      <c r="G22" s="68">
        <v>1049620</v>
      </c>
      <c r="H22" s="133"/>
      <c r="I22" s="133"/>
      <c r="J22" s="139"/>
      <c r="K22" s="140"/>
      <c r="L22" s="140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</row>
    <row r="23" spans="1:30" s="134" customFormat="1" ht="33" customHeight="1">
      <c r="A23" s="155" t="s">
        <v>238</v>
      </c>
      <c r="B23" s="67" t="s">
        <v>112</v>
      </c>
      <c r="C23" s="68">
        <v>16475</v>
      </c>
      <c r="D23" s="145">
        <f>9.09/100</f>
        <v>0.0909</v>
      </c>
      <c r="E23" s="68">
        <v>20000</v>
      </c>
      <c r="F23" s="119">
        <f>4.31/100</f>
        <v>0.0431</v>
      </c>
      <c r="G23" s="68">
        <v>20880</v>
      </c>
      <c r="H23" s="133"/>
      <c r="I23" s="133"/>
      <c r="J23" s="139"/>
      <c r="K23" s="140"/>
      <c r="L23" s="140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</row>
    <row r="24" spans="1:30" s="134" customFormat="1" ht="78.75">
      <c r="A24" s="155" t="s">
        <v>198</v>
      </c>
      <c r="B24" s="67" t="s">
        <v>111</v>
      </c>
      <c r="C24" s="68">
        <v>1107957</v>
      </c>
      <c r="D24" s="145">
        <f>7.58/100</f>
        <v>0.0758</v>
      </c>
      <c r="E24" s="68">
        <v>1664270</v>
      </c>
      <c r="F24" s="119">
        <f>4.31/100</f>
        <v>0.0431</v>
      </c>
      <c r="G24" s="68">
        <v>1737500</v>
      </c>
      <c r="H24" s="133"/>
      <c r="I24" s="133"/>
      <c r="J24" s="139"/>
      <c r="K24" s="140"/>
      <c r="L24" s="140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</row>
    <row r="25" spans="1:30" s="134" customFormat="1" ht="78.75">
      <c r="A25" s="155" t="s">
        <v>199</v>
      </c>
      <c r="B25" s="67" t="s">
        <v>110</v>
      </c>
      <c r="C25" s="68">
        <v>49426</v>
      </c>
      <c r="D25" s="145">
        <f>16.67/100</f>
        <v>0.16670000000000001</v>
      </c>
      <c r="E25" s="68">
        <v>98790</v>
      </c>
      <c r="F25" s="119">
        <f>4.31/100</f>
        <v>0.0431</v>
      </c>
      <c r="G25" s="68">
        <v>103130</v>
      </c>
      <c r="H25" s="133"/>
      <c r="I25" s="133"/>
      <c r="J25" s="139"/>
      <c r="K25" s="140"/>
      <c r="L25" s="140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</row>
    <row r="26" spans="1:30" s="138" customFormat="1" ht="15.75">
      <c r="A26" s="132" t="s">
        <v>62</v>
      </c>
      <c r="B26" s="63" t="s">
        <v>61</v>
      </c>
      <c r="C26" s="66" t="e">
        <f>C30+C27+C32</f>
        <v>#REF!</v>
      </c>
      <c r="D26" s="35">
        <f>D30</f>
        <v>0.012</v>
      </c>
      <c r="E26" s="100">
        <f>E30+E32+E27</f>
        <v>3166000</v>
      </c>
      <c r="F26" s="100" t="e">
        <f>F30+F32+F27</f>
        <v>#REF!</v>
      </c>
      <c r="G26" s="100">
        <f>G30+G32+G27</f>
        <v>3267000</v>
      </c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</row>
    <row r="27" spans="1:30" s="138" customFormat="1" ht="31.5">
      <c r="A27" s="130" t="s">
        <v>87</v>
      </c>
      <c r="B27" s="63" t="s">
        <v>89</v>
      </c>
      <c r="C27" s="66" t="e">
        <f>C28+#REF!</f>
        <v>#REF!</v>
      </c>
      <c r="D27" s="66" t="e">
        <f>D28+#REF!</f>
        <v>#REF!</v>
      </c>
      <c r="E27" s="66">
        <f>E28</f>
        <v>277000</v>
      </c>
      <c r="F27" s="66" t="e">
        <f>F28</f>
        <v>#REF!</v>
      </c>
      <c r="G27" s="66">
        <f>G28</f>
        <v>291000</v>
      </c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</row>
    <row r="28" spans="1:30" s="138" customFormat="1" ht="31.5">
      <c r="A28" s="131" t="s">
        <v>88</v>
      </c>
      <c r="B28" s="65" t="s">
        <v>90</v>
      </c>
      <c r="C28" s="68" t="e">
        <f>C29+#REF!</f>
        <v>#REF!</v>
      </c>
      <c r="D28" s="68" t="e">
        <f>D29+#REF!</f>
        <v>#REF!</v>
      </c>
      <c r="E28" s="68">
        <f>E29</f>
        <v>277000</v>
      </c>
      <c r="F28" s="68" t="e">
        <f>F29+#REF!</f>
        <v>#REF!</v>
      </c>
      <c r="G28" s="68">
        <f>G29</f>
        <v>291000</v>
      </c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</row>
    <row r="29" spans="1:30" s="138" customFormat="1" ht="31.5">
      <c r="A29" s="131" t="s">
        <v>98</v>
      </c>
      <c r="B29" s="65" t="s">
        <v>99</v>
      </c>
      <c r="C29" s="68">
        <v>114000</v>
      </c>
      <c r="D29" s="142">
        <f>1.2/100</f>
        <v>0.012</v>
      </c>
      <c r="E29" s="68">
        <v>277000</v>
      </c>
      <c r="F29" s="68" t="e">
        <f>#REF!+#REF!</f>
        <v>#REF!</v>
      </c>
      <c r="G29" s="68">
        <v>291000</v>
      </c>
      <c r="H29" s="133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</row>
    <row r="30" spans="1:30" s="138" customFormat="1" ht="31.5">
      <c r="A30" s="130" t="s">
        <v>1</v>
      </c>
      <c r="B30" s="63" t="s">
        <v>8</v>
      </c>
      <c r="C30" s="66">
        <f>C31</f>
        <v>2832000</v>
      </c>
      <c r="D30" s="66">
        <f>D31</f>
        <v>0.012</v>
      </c>
      <c r="E30" s="66">
        <f>E31</f>
        <v>2833000</v>
      </c>
      <c r="F30" s="66">
        <f>F31</f>
        <v>0.012</v>
      </c>
      <c r="G30" s="66">
        <f>G31</f>
        <v>2917000</v>
      </c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</row>
    <row r="31" spans="1:30" s="134" customFormat="1" ht="31.5">
      <c r="A31" s="131" t="s">
        <v>1</v>
      </c>
      <c r="B31" s="65" t="s">
        <v>13</v>
      </c>
      <c r="C31" s="68">
        <v>2832000</v>
      </c>
      <c r="D31" s="142">
        <f>1.2/100</f>
        <v>0.012</v>
      </c>
      <c r="E31" s="68">
        <v>2833000</v>
      </c>
      <c r="F31" s="68">
        <f>1.2/100</f>
        <v>0.012</v>
      </c>
      <c r="G31" s="68">
        <v>2917000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</row>
    <row r="32" spans="1:30" s="134" customFormat="1" ht="47.25">
      <c r="A32" s="130" t="s">
        <v>91</v>
      </c>
      <c r="B32" s="63" t="s">
        <v>93</v>
      </c>
      <c r="C32" s="66">
        <f>C33</f>
        <v>64000</v>
      </c>
      <c r="D32" s="66">
        <f>D33</f>
        <v>0.012</v>
      </c>
      <c r="E32" s="66">
        <f>E33</f>
        <v>56000</v>
      </c>
      <c r="F32" s="66">
        <f>F33</f>
        <v>0.012</v>
      </c>
      <c r="G32" s="66">
        <f>G33</f>
        <v>59000</v>
      </c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</row>
    <row r="33" spans="1:30" s="134" customFormat="1" ht="37.5" customHeight="1">
      <c r="A33" s="131" t="s">
        <v>92</v>
      </c>
      <c r="B33" s="65" t="s">
        <v>94</v>
      </c>
      <c r="C33" s="68">
        <v>64000</v>
      </c>
      <c r="D33" s="142">
        <f>1.2/100</f>
        <v>0.012</v>
      </c>
      <c r="E33" s="68">
        <v>56000</v>
      </c>
      <c r="F33" s="68">
        <f>1.2/100</f>
        <v>0.012</v>
      </c>
      <c r="G33" s="68">
        <v>59000</v>
      </c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</row>
    <row r="34" spans="1:30" s="134" customFormat="1" ht="15.75">
      <c r="A34" s="132" t="s">
        <v>124</v>
      </c>
      <c r="B34" s="63" t="s">
        <v>125</v>
      </c>
      <c r="C34" s="66">
        <f>C35+C37</f>
        <v>5000</v>
      </c>
      <c r="D34" s="66">
        <f>D35+D37</f>
        <v>0</v>
      </c>
      <c r="E34" s="66">
        <f>E35+E37</f>
        <v>6000</v>
      </c>
      <c r="F34" s="66">
        <f>F35+F37</f>
        <v>0</v>
      </c>
      <c r="G34" s="66">
        <f>G35+G37</f>
        <v>6000</v>
      </c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</row>
    <row r="35" spans="1:30" s="134" customFormat="1" ht="15.75">
      <c r="A35" s="132" t="s">
        <v>122</v>
      </c>
      <c r="B35" s="63" t="s">
        <v>123</v>
      </c>
      <c r="C35" s="66">
        <f>C36</f>
        <v>3000</v>
      </c>
      <c r="D35" s="66">
        <f>D36</f>
        <v>0</v>
      </c>
      <c r="E35" s="66">
        <f>E36</f>
        <v>4000</v>
      </c>
      <c r="F35" s="66">
        <f>F36</f>
        <v>0</v>
      </c>
      <c r="G35" s="66">
        <f>G36</f>
        <v>4000</v>
      </c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</row>
    <row r="36" spans="1:30" s="134" customFormat="1" ht="47.25">
      <c r="A36" s="131" t="s">
        <v>120</v>
      </c>
      <c r="B36" s="65" t="s">
        <v>121</v>
      </c>
      <c r="C36" s="68">
        <v>3000</v>
      </c>
      <c r="D36" s="145"/>
      <c r="E36" s="68">
        <v>4000</v>
      </c>
      <c r="F36" s="119"/>
      <c r="G36" s="68">
        <v>4000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</row>
    <row r="37" spans="1:30" s="138" customFormat="1" ht="15.75">
      <c r="A37" s="87" t="s">
        <v>118</v>
      </c>
      <c r="B37" s="63" t="s">
        <v>119</v>
      </c>
      <c r="C37" s="66">
        <f aca="true" t="shared" si="0" ref="C37:G38">C38</f>
        <v>2000</v>
      </c>
      <c r="D37" s="66">
        <f t="shared" si="0"/>
        <v>0</v>
      </c>
      <c r="E37" s="66">
        <f t="shared" si="0"/>
        <v>2000</v>
      </c>
      <c r="F37" s="66">
        <f t="shared" si="0"/>
        <v>0</v>
      </c>
      <c r="G37" s="66">
        <f t="shared" si="0"/>
        <v>2000</v>
      </c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</row>
    <row r="38" spans="1:30" s="138" customFormat="1" ht="15.75">
      <c r="A38" s="88" t="s">
        <v>202</v>
      </c>
      <c r="B38" s="63" t="s">
        <v>204</v>
      </c>
      <c r="C38" s="66">
        <f t="shared" si="0"/>
        <v>2000</v>
      </c>
      <c r="D38" s="66">
        <f t="shared" si="0"/>
        <v>0</v>
      </c>
      <c r="E38" s="66">
        <f t="shared" si="0"/>
        <v>2000</v>
      </c>
      <c r="F38" s="66">
        <f t="shared" si="0"/>
        <v>0</v>
      </c>
      <c r="G38" s="66">
        <f t="shared" si="0"/>
        <v>2000</v>
      </c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</row>
    <row r="39" spans="1:30" s="134" customFormat="1" ht="31.5">
      <c r="A39" s="86" t="s">
        <v>203</v>
      </c>
      <c r="B39" s="65" t="s">
        <v>201</v>
      </c>
      <c r="C39" s="68">
        <v>2000</v>
      </c>
      <c r="D39" s="145"/>
      <c r="E39" s="68">
        <v>2000</v>
      </c>
      <c r="F39" s="119"/>
      <c r="G39" s="68">
        <v>2000</v>
      </c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</row>
    <row r="40" spans="1:30" s="134" customFormat="1" ht="15.75">
      <c r="A40" s="130" t="s">
        <v>46</v>
      </c>
      <c r="B40" s="63" t="s">
        <v>63</v>
      </c>
      <c r="C40" s="66">
        <f aca="true" t="shared" si="1" ref="C40:G41">C41</f>
        <v>294000</v>
      </c>
      <c r="D40" s="66">
        <f t="shared" si="1"/>
        <v>0</v>
      </c>
      <c r="E40" s="66">
        <f t="shared" si="1"/>
        <v>164000</v>
      </c>
      <c r="F40" s="66">
        <f t="shared" si="1"/>
        <v>0</v>
      </c>
      <c r="G40" s="66">
        <f t="shared" si="1"/>
        <v>172000</v>
      </c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</row>
    <row r="41" spans="1:30" s="134" customFormat="1" ht="31.5">
      <c r="A41" s="130" t="s">
        <v>47</v>
      </c>
      <c r="B41" s="63" t="s">
        <v>48</v>
      </c>
      <c r="C41" s="66">
        <f t="shared" si="1"/>
        <v>294000</v>
      </c>
      <c r="D41" s="66">
        <f t="shared" si="1"/>
        <v>0</v>
      </c>
      <c r="E41" s="66">
        <f t="shared" si="1"/>
        <v>164000</v>
      </c>
      <c r="F41" s="66">
        <f t="shared" si="1"/>
        <v>0</v>
      </c>
      <c r="G41" s="66">
        <f t="shared" si="1"/>
        <v>172000</v>
      </c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</row>
    <row r="42" spans="1:30" s="138" customFormat="1" ht="47.25">
      <c r="A42" s="131" t="s">
        <v>49</v>
      </c>
      <c r="B42" s="65" t="s">
        <v>2</v>
      </c>
      <c r="C42" s="68">
        <v>294000</v>
      </c>
      <c r="D42" s="146"/>
      <c r="E42" s="68">
        <v>164000</v>
      </c>
      <c r="F42" s="118"/>
      <c r="G42" s="68">
        <v>172000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</row>
    <row r="43" spans="1:30" s="134" customFormat="1" ht="15.75">
      <c r="A43" s="130" t="s">
        <v>76</v>
      </c>
      <c r="B43" s="63"/>
      <c r="C43" s="66" t="e">
        <f>C44+#REF!+C52+C55</f>
        <v>#REF!</v>
      </c>
      <c r="D43" s="66" t="e">
        <f>D44+#REF!+D52+D55</f>
        <v>#REF!</v>
      </c>
      <c r="E43" s="66">
        <f>E44+E52+E55</f>
        <v>4326840</v>
      </c>
      <c r="F43" s="66" t="e">
        <f>F44+F52+F55</f>
        <v>#REF!</v>
      </c>
      <c r="G43" s="66">
        <f>G44+G52+G55</f>
        <v>4460900</v>
      </c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</row>
    <row r="44" spans="1:30" s="134" customFormat="1" ht="47.25">
      <c r="A44" s="130" t="s">
        <v>65</v>
      </c>
      <c r="B44" s="63" t="s">
        <v>64</v>
      </c>
      <c r="C44" s="66" t="e">
        <f>C45+C49</f>
        <v>#REF!</v>
      </c>
      <c r="D44" s="66" t="e">
        <f>D45+D49</f>
        <v>#REF!</v>
      </c>
      <c r="E44" s="66">
        <f>E45+E49</f>
        <v>3886800</v>
      </c>
      <c r="F44" s="66" t="e">
        <f>F45+F49</f>
        <v>#REF!</v>
      </c>
      <c r="G44" s="66">
        <f>G45+G49</f>
        <v>4000000</v>
      </c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</row>
    <row r="45" spans="1:30" s="134" customFormat="1" ht="94.5">
      <c r="A45" s="131" t="s">
        <v>83</v>
      </c>
      <c r="B45" s="63" t="s">
        <v>82</v>
      </c>
      <c r="C45" s="66" t="e">
        <f>C48+C47+C46+#REF!</f>
        <v>#REF!</v>
      </c>
      <c r="D45" s="66" t="e">
        <f>D48+D47+D46+#REF!</f>
        <v>#REF!</v>
      </c>
      <c r="E45" s="66">
        <f>E48+E47+E46</f>
        <v>3746800</v>
      </c>
      <c r="F45" s="66" t="e">
        <f>F48+F47+F46+#REF!</f>
        <v>#REF!</v>
      </c>
      <c r="G45" s="66">
        <f>G48+G47+G46</f>
        <v>3860000</v>
      </c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</row>
    <row r="46" spans="1:30" s="134" customFormat="1" ht="78.75">
      <c r="A46" s="131" t="s">
        <v>80</v>
      </c>
      <c r="B46" s="65" t="s">
        <v>79</v>
      </c>
      <c r="C46" s="68">
        <v>700000</v>
      </c>
      <c r="D46" s="145"/>
      <c r="E46" s="68">
        <v>36800</v>
      </c>
      <c r="F46" s="119"/>
      <c r="G46" s="68">
        <v>30000</v>
      </c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</row>
    <row r="47" spans="1:30" s="134" customFormat="1" ht="78.75">
      <c r="A47" s="131" t="s">
        <v>14</v>
      </c>
      <c r="B47" s="65" t="s">
        <v>3</v>
      </c>
      <c r="C47" s="68">
        <v>190000</v>
      </c>
      <c r="D47" s="145"/>
      <c r="E47" s="68">
        <v>210000</v>
      </c>
      <c r="F47" s="119"/>
      <c r="G47" s="68">
        <v>210000</v>
      </c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</row>
    <row r="48" spans="1:30" s="134" customFormat="1" ht="65.25" customHeight="1">
      <c r="A48" s="131" t="s">
        <v>12</v>
      </c>
      <c r="B48" s="65" t="s">
        <v>4</v>
      </c>
      <c r="C48" s="68">
        <v>3150000</v>
      </c>
      <c r="D48" s="145"/>
      <c r="E48" s="68">
        <v>3500000</v>
      </c>
      <c r="F48" s="119"/>
      <c r="G48" s="68">
        <v>3620000</v>
      </c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</row>
    <row r="49" spans="1:30" s="144" customFormat="1" ht="94.5">
      <c r="A49" s="130" t="s">
        <v>105</v>
      </c>
      <c r="B49" s="63" t="s">
        <v>104</v>
      </c>
      <c r="C49" s="66">
        <f aca="true" t="shared" si="2" ref="C49:G50">C50</f>
        <v>99253</v>
      </c>
      <c r="D49" s="66">
        <f t="shared" si="2"/>
        <v>0</v>
      </c>
      <c r="E49" s="66">
        <f t="shared" si="2"/>
        <v>140000</v>
      </c>
      <c r="F49" s="66">
        <f t="shared" si="2"/>
        <v>0</v>
      </c>
      <c r="G49" s="66">
        <f t="shared" si="2"/>
        <v>140000</v>
      </c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</row>
    <row r="50" spans="1:30" s="144" customFormat="1" ht="94.5">
      <c r="A50" s="130" t="s">
        <v>106</v>
      </c>
      <c r="B50" s="63" t="s">
        <v>107</v>
      </c>
      <c r="C50" s="66">
        <f t="shared" si="2"/>
        <v>99253</v>
      </c>
      <c r="D50" s="66">
        <f t="shared" si="2"/>
        <v>0</v>
      </c>
      <c r="E50" s="66">
        <f t="shared" si="2"/>
        <v>140000</v>
      </c>
      <c r="F50" s="66">
        <f t="shared" si="2"/>
        <v>0</v>
      </c>
      <c r="G50" s="66">
        <f t="shared" si="2"/>
        <v>140000</v>
      </c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</row>
    <row r="51" spans="1:30" s="144" customFormat="1" ht="78.75">
      <c r="A51" s="131" t="s">
        <v>109</v>
      </c>
      <c r="B51" s="65" t="s">
        <v>108</v>
      </c>
      <c r="C51" s="68">
        <v>99253</v>
      </c>
      <c r="D51" s="147"/>
      <c r="E51" s="68">
        <v>140000</v>
      </c>
      <c r="F51" s="148"/>
      <c r="G51" s="68">
        <v>140000</v>
      </c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</row>
    <row r="52" spans="1:30" s="134" customFormat="1" ht="15.75">
      <c r="A52" s="132" t="s">
        <v>70</v>
      </c>
      <c r="B52" s="63" t="s">
        <v>69</v>
      </c>
      <c r="C52" s="66">
        <f>C54</f>
        <v>473000</v>
      </c>
      <c r="D52" s="66">
        <f>D54</f>
        <v>0</v>
      </c>
      <c r="E52" s="66">
        <f>E54</f>
        <v>405040</v>
      </c>
      <c r="F52" s="66">
        <f>F54</f>
        <v>0</v>
      </c>
      <c r="G52" s="66">
        <f>G54</f>
        <v>424360</v>
      </c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</row>
    <row r="53" spans="1:30" s="134" customFormat="1" ht="31.5">
      <c r="A53" s="130" t="s">
        <v>9</v>
      </c>
      <c r="B53" s="63" t="s">
        <v>10</v>
      </c>
      <c r="C53" s="66">
        <f>C54</f>
        <v>473000</v>
      </c>
      <c r="D53" s="66">
        <f>D54</f>
        <v>0</v>
      </c>
      <c r="E53" s="66">
        <f>E54</f>
        <v>405040</v>
      </c>
      <c r="F53" s="66">
        <f>F54</f>
        <v>0</v>
      </c>
      <c r="G53" s="66">
        <f>G54</f>
        <v>424360</v>
      </c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</row>
    <row r="54" spans="1:30" s="134" customFormat="1" ht="47.25">
      <c r="A54" s="131" t="s">
        <v>5</v>
      </c>
      <c r="B54" s="65" t="s">
        <v>6</v>
      </c>
      <c r="C54" s="68">
        <v>473000</v>
      </c>
      <c r="D54" s="145"/>
      <c r="E54" s="68">
        <v>405040</v>
      </c>
      <c r="F54" s="119"/>
      <c r="G54" s="68">
        <v>424360</v>
      </c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</row>
    <row r="55" spans="1:30" s="134" customFormat="1" ht="15.75">
      <c r="A55" s="130" t="s">
        <v>72</v>
      </c>
      <c r="B55" s="63" t="s">
        <v>71</v>
      </c>
      <c r="C55" s="66">
        <f aca="true" t="shared" si="3" ref="C55:G56">C56</f>
        <v>74000</v>
      </c>
      <c r="D55" s="66">
        <f t="shared" si="3"/>
        <v>0</v>
      </c>
      <c r="E55" s="66">
        <f t="shared" si="3"/>
        <v>35000</v>
      </c>
      <c r="F55" s="66">
        <f t="shared" si="3"/>
        <v>0</v>
      </c>
      <c r="G55" s="66">
        <f t="shared" si="3"/>
        <v>36540</v>
      </c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</row>
    <row r="56" spans="1:30" s="134" customFormat="1" ht="15.75">
      <c r="A56" s="130" t="s">
        <v>54</v>
      </c>
      <c r="B56" s="63" t="s">
        <v>73</v>
      </c>
      <c r="C56" s="66">
        <f t="shared" si="3"/>
        <v>74000</v>
      </c>
      <c r="D56" s="66">
        <f t="shared" si="3"/>
        <v>0</v>
      </c>
      <c r="E56" s="66">
        <f t="shared" si="3"/>
        <v>35000</v>
      </c>
      <c r="F56" s="66">
        <f t="shared" si="3"/>
        <v>0</v>
      </c>
      <c r="G56" s="66">
        <f t="shared" si="3"/>
        <v>36540</v>
      </c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</row>
    <row r="57" spans="1:30" s="134" customFormat="1" ht="15.75">
      <c r="A57" s="131" t="s">
        <v>44</v>
      </c>
      <c r="B57" s="65" t="s">
        <v>7</v>
      </c>
      <c r="C57" s="68">
        <v>74000</v>
      </c>
      <c r="D57" s="145"/>
      <c r="E57" s="68">
        <v>35000</v>
      </c>
      <c r="F57" s="119"/>
      <c r="G57" s="68">
        <v>36540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</row>
    <row r="58" spans="1:30" s="134" customFormat="1" ht="15.75">
      <c r="A58" s="130" t="s">
        <v>77</v>
      </c>
      <c r="B58" s="65"/>
      <c r="C58" s="66" t="e">
        <f>C13</f>
        <v>#REF!</v>
      </c>
      <c r="D58" s="66" t="e">
        <f>D13</f>
        <v>#REF!</v>
      </c>
      <c r="E58" s="66">
        <f>E13</f>
        <v>138717280</v>
      </c>
      <c r="F58" s="66" t="e">
        <f>F13</f>
        <v>#REF!</v>
      </c>
      <c r="G58" s="66">
        <f>G13</f>
        <v>142930030</v>
      </c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</row>
    <row r="59" spans="1:30" s="138" customFormat="1" ht="15.75">
      <c r="A59" s="130" t="s">
        <v>155</v>
      </c>
      <c r="B59" s="63" t="s">
        <v>74</v>
      </c>
      <c r="C59" s="66" t="e">
        <f>C60</f>
        <v>#REF!</v>
      </c>
      <c r="D59" s="66" t="e">
        <f>D60</f>
        <v>#REF!</v>
      </c>
      <c r="E59" s="66">
        <f>E60</f>
        <v>238409268</v>
      </c>
      <c r="F59" s="66">
        <f>F60</f>
        <v>3442220</v>
      </c>
      <c r="G59" s="66">
        <f>G60</f>
        <v>213621798</v>
      </c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</row>
    <row r="60" spans="1:30" s="138" customFormat="1" ht="31.5">
      <c r="A60" s="130" t="s">
        <v>22</v>
      </c>
      <c r="B60" s="63" t="s">
        <v>0</v>
      </c>
      <c r="C60" s="66" t="e">
        <f>C61+C72+C102+C66</f>
        <v>#REF!</v>
      </c>
      <c r="D60" s="66" t="e">
        <f>D61+D72+D102+D66</f>
        <v>#REF!</v>
      </c>
      <c r="E60" s="66">
        <f>E61+E72+E102+E66</f>
        <v>238409268</v>
      </c>
      <c r="F60" s="66">
        <f>F61+F72+F102+F66</f>
        <v>3442220</v>
      </c>
      <c r="G60" s="66">
        <f>G61+G72+G102+G66</f>
        <v>213621798</v>
      </c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</row>
    <row r="61" spans="1:30" s="134" customFormat="1" ht="31.5">
      <c r="A61" s="130" t="s">
        <v>23</v>
      </c>
      <c r="B61" s="63" t="s">
        <v>75</v>
      </c>
      <c r="C61" s="66" t="e">
        <f>C62+#REF!+C64</f>
        <v>#REF!</v>
      </c>
      <c r="D61" s="66" t="e">
        <f>D62+#REF!+D64</f>
        <v>#REF!</v>
      </c>
      <c r="E61" s="66">
        <f>E62+E64</f>
        <v>110875000</v>
      </c>
      <c r="F61" s="66">
        <f>F62+F64</f>
        <v>1996000</v>
      </c>
      <c r="G61" s="66">
        <f>G62+G64</f>
        <v>78337000</v>
      </c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</row>
    <row r="62" spans="1:30" s="134" customFormat="1" ht="15.75">
      <c r="A62" s="130" t="s">
        <v>25</v>
      </c>
      <c r="B62" s="63" t="s">
        <v>26</v>
      </c>
      <c r="C62" s="66">
        <f>C63</f>
        <v>1938000</v>
      </c>
      <c r="D62" s="66">
        <f>D63</f>
        <v>0</v>
      </c>
      <c r="E62" s="66">
        <f>E63</f>
        <v>1996000</v>
      </c>
      <c r="F62" s="66">
        <f>F63</f>
        <v>1996000</v>
      </c>
      <c r="G62" s="66">
        <f>G63</f>
        <v>1996000</v>
      </c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</row>
    <row r="63" spans="1:30" s="134" customFormat="1" ht="31.5">
      <c r="A63" s="131" t="s">
        <v>134</v>
      </c>
      <c r="B63" s="65" t="s">
        <v>21</v>
      </c>
      <c r="C63" s="68">
        <v>1938000</v>
      </c>
      <c r="D63" s="145"/>
      <c r="E63" s="68">
        <f>1969000+27000</f>
        <v>1996000</v>
      </c>
      <c r="F63" s="68">
        <f>1969000+27000</f>
        <v>1996000</v>
      </c>
      <c r="G63" s="68">
        <f>1969000+27000</f>
        <v>1996000</v>
      </c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</row>
    <row r="64" spans="1:30" s="138" customFormat="1" ht="31.5">
      <c r="A64" s="130" t="s">
        <v>41</v>
      </c>
      <c r="B64" s="63" t="s">
        <v>24</v>
      </c>
      <c r="C64" s="66">
        <f>C65</f>
        <v>105209000</v>
      </c>
      <c r="D64" s="66">
        <f>D65</f>
        <v>0</v>
      </c>
      <c r="E64" s="66">
        <f>E65</f>
        <v>108879000</v>
      </c>
      <c r="F64" s="66">
        <f>F65</f>
        <v>0</v>
      </c>
      <c r="G64" s="66">
        <f>G65</f>
        <v>76341000</v>
      </c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</row>
    <row r="65" spans="1:30" s="134" customFormat="1" ht="31.5">
      <c r="A65" s="131" t="s">
        <v>42</v>
      </c>
      <c r="B65" s="65" t="s">
        <v>20</v>
      </c>
      <c r="C65" s="68">
        <v>105209000</v>
      </c>
      <c r="D65" s="145"/>
      <c r="E65" s="68">
        <f>53707000+55172000</f>
        <v>108879000</v>
      </c>
      <c r="F65" s="119"/>
      <c r="G65" s="68">
        <v>76341000</v>
      </c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</row>
    <row r="66" spans="1:30" s="138" customFormat="1" ht="15.75">
      <c r="A66" s="130" t="s">
        <v>27</v>
      </c>
      <c r="B66" s="63" t="s">
        <v>28</v>
      </c>
      <c r="C66" s="66" t="e">
        <f>C67</f>
        <v>#REF!</v>
      </c>
      <c r="D66" s="66" t="e">
        <f>D67</f>
        <v>#REF!</v>
      </c>
      <c r="E66" s="66">
        <f>E67</f>
        <v>5871700</v>
      </c>
      <c r="F66" s="66">
        <f>F67</f>
        <v>0</v>
      </c>
      <c r="G66" s="66">
        <f>G67</f>
        <v>6153600</v>
      </c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</row>
    <row r="67" spans="1:30" s="134" customFormat="1" ht="15.75">
      <c r="A67" s="131" t="s">
        <v>16</v>
      </c>
      <c r="B67" s="65" t="s">
        <v>29</v>
      </c>
      <c r="C67" s="68" t="e">
        <f>C68+C69+C70+C71+#REF!</f>
        <v>#REF!</v>
      </c>
      <c r="D67" s="68" t="e">
        <f>D68+D69+D70+D71+#REF!</f>
        <v>#REF!</v>
      </c>
      <c r="E67" s="68">
        <f>E68+E69+E70+E71</f>
        <v>5871700</v>
      </c>
      <c r="F67" s="68">
        <f>F68+F69+F70+F71</f>
        <v>0</v>
      </c>
      <c r="G67" s="68">
        <f>G68+G69+G70+G71</f>
        <v>6153600</v>
      </c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</row>
    <row r="68" spans="1:30" s="134" customFormat="1" ht="83.25" customHeight="1">
      <c r="A68" s="131" t="s">
        <v>132</v>
      </c>
      <c r="B68" s="65" t="s">
        <v>29</v>
      </c>
      <c r="C68" s="68">
        <v>98500</v>
      </c>
      <c r="D68" s="145"/>
      <c r="E68" s="68">
        <f>130000+36700</f>
        <v>166700</v>
      </c>
      <c r="F68" s="119"/>
      <c r="G68" s="68">
        <f>118500+52100</f>
        <v>170600</v>
      </c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</row>
    <row r="69" spans="1:30" s="150" customFormat="1" ht="78.75">
      <c r="A69" s="149" t="s">
        <v>249</v>
      </c>
      <c r="B69" s="65" t="s">
        <v>29</v>
      </c>
      <c r="C69" s="68">
        <v>6753900</v>
      </c>
      <c r="D69" s="145"/>
      <c r="E69" s="68">
        <f>6401000-985700</f>
        <v>5415300</v>
      </c>
      <c r="F69" s="119"/>
      <c r="G69" s="68">
        <f>6643100-962700</f>
        <v>5680400</v>
      </c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</row>
    <row r="70" spans="1:7" s="133" customFormat="1" ht="78.75">
      <c r="A70" s="131" t="s">
        <v>130</v>
      </c>
      <c r="B70" s="65" t="s">
        <v>29</v>
      </c>
      <c r="C70" s="68">
        <v>248600</v>
      </c>
      <c r="D70" s="145"/>
      <c r="E70" s="68">
        <f>248600+29700</f>
        <v>278300</v>
      </c>
      <c r="F70" s="119"/>
      <c r="G70" s="68">
        <f>248600+42600</f>
        <v>291200</v>
      </c>
    </row>
    <row r="71" spans="1:7" s="133" customFormat="1" ht="63">
      <c r="A71" s="131" t="s">
        <v>126</v>
      </c>
      <c r="B71" s="65" t="s">
        <v>29</v>
      </c>
      <c r="C71" s="68">
        <v>11400</v>
      </c>
      <c r="D71" s="145"/>
      <c r="E71" s="68">
        <v>11400</v>
      </c>
      <c r="F71" s="119"/>
      <c r="G71" s="68">
        <v>11400</v>
      </c>
    </row>
    <row r="72" spans="1:7" s="133" customFormat="1" ht="31.5">
      <c r="A72" s="135" t="s">
        <v>39</v>
      </c>
      <c r="B72" s="63" t="s">
        <v>40</v>
      </c>
      <c r="C72" s="66" t="e">
        <f>C73+C77+#REF!+#REF!+C84</f>
        <v>#REF!</v>
      </c>
      <c r="D72" s="66" t="e">
        <f>D73+D77+#REF!+#REF!+D84</f>
        <v>#REF!</v>
      </c>
      <c r="E72" s="66">
        <f>E73+E75+E77+E84+E79+E81</f>
        <v>121660428</v>
      </c>
      <c r="F72" s="66">
        <f>F73+F75+F77+F84+F79+F81</f>
        <v>1446220</v>
      </c>
      <c r="G72" s="66">
        <f>G73+G75+G77+G84+G79+G81</f>
        <v>129128998</v>
      </c>
    </row>
    <row r="73" spans="1:30" s="134" customFormat="1" ht="31.5">
      <c r="A73" s="130" t="s">
        <v>30</v>
      </c>
      <c r="B73" s="63" t="s">
        <v>31</v>
      </c>
      <c r="C73" s="66">
        <f>C74</f>
        <v>824500</v>
      </c>
      <c r="D73" s="66">
        <f>D74</f>
        <v>0</v>
      </c>
      <c r="E73" s="66">
        <f>E74</f>
        <v>656500</v>
      </c>
      <c r="F73" s="66">
        <f>F74</f>
        <v>0</v>
      </c>
      <c r="G73" s="66">
        <f>G74</f>
        <v>785800</v>
      </c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</row>
    <row r="74" spans="1:30" s="134" customFormat="1" ht="31.5">
      <c r="A74" s="131" t="s">
        <v>137</v>
      </c>
      <c r="B74" s="65" t="s">
        <v>32</v>
      </c>
      <c r="C74" s="68">
        <v>824500</v>
      </c>
      <c r="D74" s="145"/>
      <c r="E74" s="68">
        <f>649500+3900+3100</f>
        <v>656500</v>
      </c>
      <c r="F74" s="119"/>
      <c r="G74" s="68">
        <f>696300+7000+82500</f>
        <v>785800</v>
      </c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</row>
    <row r="75" spans="1:30" s="134" customFormat="1" ht="63">
      <c r="A75" s="130" t="s">
        <v>166</v>
      </c>
      <c r="B75" s="63" t="s">
        <v>167</v>
      </c>
      <c r="C75" s="66"/>
      <c r="D75" s="146"/>
      <c r="E75" s="66">
        <f>E76</f>
        <v>5130</v>
      </c>
      <c r="F75" s="118"/>
      <c r="G75" s="66">
        <f>G76</f>
        <v>0</v>
      </c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</row>
    <row r="76" spans="1:30" s="134" customFormat="1" ht="53.25" customHeight="1">
      <c r="A76" s="131" t="s">
        <v>166</v>
      </c>
      <c r="B76" s="65" t="s">
        <v>165</v>
      </c>
      <c r="C76" s="68"/>
      <c r="D76" s="145"/>
      <c r="E76" s="68">
        <f>5200-70</f>
        <v>5130</v>
      </c>
      <c r="F76" s="119"/>
      <c r="G76" s="68">
        <v>0</v>
      </c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</row>
    <row r="77" spans="1:30" s="134" customFormat="1" ht="47.25">
      <c r="A77" s="130" t="s">
        <v>33</v>
      </c>
      <c r="B77" s="63" t="s">
        <v>34</v>
      </c>
      <c r="C77" s="66">
        <f>C78</f>
        <v>281900</v>
      </c>
      <c r="D77" s="66">
        <f>D78</f>
        <v>0</v>
      </c>
      <c r="E77" s="66">
        <f>E78</f>
        <v>279100</v>
      </c>
      <c r="F77" s="66">
        <f>F78</f>
        <v>0</v>
      </c>
      <c r="G77" s="66">
        <f>G78</f>
        <v>266400</v>
      </c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</row>
    <row r="78" spans="1:7" s="136" customFormat="1" ht="47.25">
      <c r="A78" s="131" t="s">
        <v>136</v>
      </c>
      <c r="B78" s="65" t="s">
        <v>35</v>
      </c>
      <c r="C78" s="68">
        <v>281900</v>
      </c>
      <c r="D78" s="145"/>
      <c r="E78" s="68">
        <f>279100</f>
        <v>279100</v>
      </c>
      <c r="F78" s="119"/>
      <c r="G78" s="68">
        <v>266400</v>
      </c>
    </row>
    <row r="79" spans="1:7" s="136" customFormat="1" ht="63">
      <c r="A79" s="130" t="s">
        <v>231</v>
      </c>
      <c r="B79" s="63" t="s">
        <v>229</v>
      </c>
      <c r="C79" s="68"/>
      <c r="D79" s="145"/>
      <c r="E79" s="68">
        <f>E80</f>
        <v>3536400</v>
      </c>
      <c r="F79" s="68">
        <f>F80</f>
        <v>0</v>
      </c>
      <c r="G79" s="68">
        <f>G80</f>
        <v>3695600</v>
      </c>
    </row>
    <row r="80" spans="1:7" s="136" customFormat="1" ht="63">
      <c r="A80" s="131" t="s">
        <v>251</v>
      </c>
      <c r="B80" s="65" t="s">
        <v>232</v>
      </c>
      <c r="C80" s="68"/>
      <c r="D80" s="145"/>
      <c r="E80" s="68">
        <f>3160400+376000</f>
        <v>3536400</v>
      </c>
      <c r="F80" s="119"/>
      <c r="G80" s="68">
        <f>3160400+535200</f>
        <v>3695600</v>
      </c>
    </row>
    <row r="81" spans="1:7" s="136" customFormat="1" ht="94.5">
      <c r="A81" s="130" t="s">
        <v>236</v>
      </c>
      <c r="B81" s="63" t="s">
        <v>234</v>
      </c>
      <c r="C81" s="68"/>
      <c r="D81" s="145"/>
      <c r="E81" s="68">
        <f>E82+E83</f>
        <v>2594600</v>
      </c>
      <c r="F81" s="68">
        <f>F82+F83</f>
        <v>0</v>
      </c>
      <c r="G81" s="68">
        <f>G82+G83</f>
        <v>2613000</v>
      </c>
    </row>
    <row r="82" spans="1:9" s="136" customFormat="1" ht="94.5">
      <c r="A82" s="131" t="s">
        <v>235</v>
      </c>
      <c r="B82" s="65" t="s">
        <v>233</v>
      </c>
      <c r="C82" s="68"/>
      <c r="D82" s="145"/>
      <c r="E82" s="68">
        <f>2365300+59100-14600-585200+706700</f>
        <v>2531300</v>
      </c>
      <c r="F82" s="119"/>
      <c r="G82" s="68">
        <f>2382200+59600-15100-602100+724700</f>
        <v>2549300</v>
      </c>
      <c r="H82" s="180"/>
      <c r="I82" s="180"/>
    </row>
    <row r="83" spans="1:9" s="136" customFormat="1" ht="114" customHeight="1">
      <c r="A83" s="131" t="s">
        <v>252</v>
      </c>
      <c r="B83" s="65" t="s">
        <v>233</v>
      </c>
      <c r="C83" s="68"/>
      <c r="D83" s="145"/>
      <c r="E83" s="68">
        <v>63300</v>
      </c>
      <c r="F83" s="119"/>
      <c r="G83" s="68">
        <v>63700</v>
      </c>
      <c r="H83" s="180"/>
      <c r="I83" s="180"/>
    </row>
    <row r="84" spans="1:30" s="134" customFormat="1" ht="15.75">
      <c r="A84" s="130" t="s">
        <v>36</v>
      </c>
      <c r="B84" s="63" t="s">
        <v>37</v>
      </c>
      <c r="C84" s="66" t="e">
        <f>C85</f>
        <v>#REF!</v>
      </c>
      <c r="D84" s="66" t="e">
        <f>D85</f>
        <v>#REF!</v>
      </c>
      <c r="E84" s="66">
        <f>E85</f>
        <v>114588698</v>
      </c>
      <c r="F84" s="66">
        <f>F85</f>
        <v>1446220</v>
      </c>
      <c r="G84" s="66">
        <f>G85</f>
        <v>121768198</v>
      </c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</row>
    <row r="85" spans="1:30" s="134" customFormat="1" ht="15.75">
      <c r="A85" s="131" t="s">
        <v>43</v>
      </c>
      <c r="B85" s="65" t="s">
        <v>38</v>
      </c>
      <c r="C85" s="68" t="e">
        <f>C86+C87+C88+C89+C90+C91+C92+C93+C94+C95+#REF!+C96+C97+C98+C99+#REF!</f>
        <v>#REF!</v>
      </c>
      <c r="D85" s="68" t="e">
        <f>D86+D87+D88+D89+D90+D91+D92+D93+D94+D95+#REF!+D96+D97+D98+D99+#REF!</f>
        <v>#REF!</v>
      </c>
      <c r="E85" s="68">
        <f>E86+E87+E88+E89+E90+E91+E92+E93+E94+E95+E96+E97+E98+E99+E100+E101</f>
        <v>114588698</v>
      </c>
      <c r="F85" s="68">
        <f>F86+F87+F88+F89+F90+F91+F92+F93+F94+F95+F96+F97+F98+F99+F100+F101</f>
        <v>1446220</v>
      </c>
      <c r="G85" s="68">
        <f>G86+G87+G88+G89+G90+G91+G92+G93+G94+G95+G96+G97+G98+G99+G100+G101</f>
        <v>121768198</v>
      </c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</row>
    <row r="86" spans="1:30" s="134" customFormat="1" ht="47.25">
      <c r="A86" s="131" t="s">
        <v>133</v>
      </c>
      <c r="B86" s="65" t="s">
        <v>38</v>
      </c>
      <c r="C86" s="68">
        <v>853000</v>
      </c>
      <c r="D86" s="145"/>
      <c r="E86" s="68">
        <v>881000</v>
      </c>
      <c r="F86" s="119"/>
      <c r="G86" s="68">
        <v>881000</v>
      </c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</row>
    <row r="87" spans="1:30" s="134" customFormat="1" ht="31.5">
      <c r="A87" s="131" t="s">
        <v>138</v>
      </c>
      <c r="B87" s="65" t="s">
        <v>38</v>
      </c>
      <c r="C87" s="68">
        <v>170600</v>
      </c>
      <c r="D87" s="145"/>
      <c r="E87" s="68">
        <f>75000+7500</f>
        <v>82500</v>
      </c>
      <c r="F87" s="68">
        <f>75000+7500</f>
        <v>82500</v>
      </c>
      <c r="G87" s="68">
        <f>75000+7500</f>
        <v>82500</v>
      </c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</row>
    <row r="88" spans="1:30" s="134" customFormat="1" ht="94.5">
      <c r="A88" s="131" t="s">
        <v>135</v>
      </c>
      <c r="B88" s="65" t="s">
        <v>38</v>
      </c>
      <c r="C88" s="68">
        <v>6000</v>
      </c>
      <c r="D88" s="145"/>
      <c r="E88" s="68">
        <v>6000</v>
      </c>
      <c r="F88" s="119"/>
      <c r="G88" s="68">
        <v>6000</v>
      </c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</row>
    <row r="89" spans="1:30" s="134" customFormat="1" ht="78.75">
      <c r="A89" s="131" t="s">
        <v>84</v>
      </c>
      <c r="B89" s="65" t="s">
        <v>38</v>
      </c>
      <c r="C89" s="68">
        <v>3200</v>
      </c>
      <c r="D89" s="145"/>
      <c r="E89" s="68">
        <v>3300</v>
      </c>
      <c r="F89" s="119"/>
      <c r="G89" s="68">
        <v>3300</v>
      </c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</row>
    <row r="90" spans="1:30" s="134" customFormat="1" ht="94.5">
      <c r="A90" s="131" t="s">
        <v>139</v>
      </c>
      <c r="B90" s="65" t="s">
        <v>38</v>
      </c>
      <c r="C90" s="68">
        <v>13100</v>
      </c>
      <c r="D90" s="145"/>
      <c r="E90" s="68">
        <f>8600+13400</f>
        <v>22000</v>
      </c>
      <c r="F90" s="68">
        <f>8600+13400</f>
        <v>22000</v>
      </c>
      <c r="G90" s="68">
        <f>8600+13400</f>
        <v>22000</v>
      </c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</row>
    <row r="91" spans="1:7" s="136" customFormat="1" ht="78.75">
      <c r="A91" s="151" t="s">
        <v>128</v>
      </c>
      <c r="B91" s="65" t="s">
        <v>38</v>
      </c>
      <c r="C91" s="68">
        <v>4200</v>
      </c>
      <c r="D91" s="146"/>
      <c r="E91" s="68">
        <v>4400</v>
      </c>
      <c r="F91" s="119"/>
      <c r="G91" s="68">
        <v>4400</v>
      </c>
    </row>
    <row r="92" spans="1:7" s="136" customFormat="1" ht="78.75">
      <c r="A92" s="151" t="s">
        <v>129</v>
      </c>
      <c r="B92" s="65" t="s">
        <v>38</v>
      </c>
      <c r="C92" s="68">
        <v>238100</v>
      </c>
      <c r="D92" s="146"/>
      <c r="E92" s="68">
        <f>219300-21800</f>
        <v>197500</v>
      </c>
      <c r="F92" s="119"/>
      <c r="G92" s="68">
        <f>231400-18500</f>
        <v>212900</v>
      </c>
    </row>
    <row r="93" spans="1:30" s="134" customFormat="1" ht="63">
      <c r="A93" s="131" t="s">
        <v>253</v>
      </c>
      <c r="B93" s="65" t="s">
        <v>38</v>
      </c>
      <c r="C93" s="68">
        <v>62197900</v>
      </c>
      <c r="D93" s="145"/>
      <c r="E93" s="68">
        <f>67362100-5401200-2377000</f>
        <v>59583900</v>
      </c>
      <c r="F93" s="119"/>
      <c r="G93" s="68">
        <f>69763000-3279800-789100</f>
        <v>65694100</v>
      </c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</row>
    <row r="94" spans="1:30" s="134" customFormat="1" ht="63">
      <c r="A94" s="131" t="s">
        <v>254</v>
      </c>
      <c r="B94" s="65" t="s">
        <v>38</v>
      </c>
      <c r="C94" s="68">
        <v>44662200</v>
      </c>
      <c r="D94" s="145"/>
      <c r="E94" s="68">
        <f>39781500+3023800-575100</f>
        <v>42230200</v>
      </c>
      <c r="F94" s="119"/>
      <c r="G94" s="68">
        <f>41404500+3933800-397600</f>
        <v>44940700</v>
      </c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</row>
    <row r="95" spans="1:7" s="136" customFormat="1" ht="47.25">
      <c r="A95" s="131" t="s">
        <v>255</v>
      </c>
      <c r="B95" s="65" t="s">
        <v>38</v>
      </c>
      <c r="C95" s="68">
        <v>1336900</v>
      </c>
      <c r="D95" s="145"/>
      <c r="E95" s="152">
        <f>1258900+336700</f>
        <v>1595600</v>
      </c>
      <c r="F95" s="152">
        <v>1258900</v>
      </c>
      <c r="G95" s="152">
        <f>1258900+336700</f>
        <v>1595600</v>
      </c>
    </row>
    <row r="96" spans="1:7" s="136" customFormat="1" ht="78.75">
      <c r="A96" s="131" t="s">
        <v>149</v>
      </c>
      <c r="B96" s="65" t="s">
        <v>38</v>
      </c>
      <c r="C96" s="68">
        <v>75100</v>
      </c>
      <c r="D96" s="146"/>
      <c r="E96" s="68">
        <f>78400-13200</f>
        <v>65200</v>
      </c>
      <c r="F96" s="68">
        <f>78400-13200</f>
        <v>65200</v>
      </c>
      <c r="G96" s="68">
        <f>78400-13200</f>
        <v>65200</v>
      </c>
    </row>
    <row r="97" spans="1:7" s="136" customFormat="1" ht="78.75">
      <c r="A97" s="131" t="s">
        <v>150</v>
      </c>
      <c r="B97" s="65" t="s">
        <v>38</v>
      </c>
      <c r="C97" s="68">
        <v>13063300</v>
      </c>
      <c r="D97" s="146"/>
      <c r="E97" s="68">
        <f>13091400-4176000</f>
        <v>8915400</v>
      </c>
      <c r="F97" s="119"/>
      <c r="G97" s="68">
        <f>13784300-6527200</f>
        <v>7257100</v>
      </c>
    </row>
    <row r="98" spans="1:7" s="136" customFormat="1" ht="78.75">
      <c r="A98" s="151" t="s">
        <v>250</v>
      </c>
      <c r="B98" s="65" t="s">
        <v>38</v>
      </c>
      <c r="C98" s="68">
        <v>67600</v>
      </c>
      <c r="D98" s="146"/>
      <c r="E98" s="68">
        <f>33800+4000</f>
        <v>37800</v>
      </c>
      <c r="F98" s="119"/>
      <c r="G98" s="68">
        <f>33800+5700</f>
        <v>39500</v>
      </c>
    </row>
    <row r="99" spans="1:7" s="136" customFormat="1" ht="94.5">
      <c r="A99" s="131" t="s">
        <v>142</v>
      </c>
      <c r="B99" s="65" t="s">
        <v>38</v>
      </c>
      <c r="C99" s="68">
        <v>853000</v>
      </c>
      <c r="D99" s="146"/>
      <c r="E99" s="68">
        <v>881000</v>
      </c>
      <c r="F99" s="119"/>
      <c r="G99" s="68">
        <v>881000</v>
      </c>
    </row>
    <row r="100" spans="1:7" s="136" customFormat="1" ht="63">
      <c r="A100" s="89" t="s">
        <v>242</v>
      </c>
      <c r="B100" s="65" t="s">
        <v>38</v>
      </c>
      <c r="C100" s="179">
        <v>17620</v>
      </c>
      <c r="D100" s="178"/>
      <c r="E100" s="68">
        <v>17620</v>
      </c>
      <c r="F100" s="68">
        <v>17620</v>
      </c>
      <c r="G100" s="68">
        <v>17620</v>
      </c>
    </row>
    <row r="101" spans="1:9" s="136" customFormat="1" ht="47.25">
      <c r="A101" s="89" t="s">
        <v>241</v>
      </c>
      <c r="B101" s="65" t="s">
        <v>38</v>
      </c>
      <c r="C101" s="179"/>
      <c r="D101" s="178"/>
      <c r="E101" s="68">
        <v>65278</v>
      </c>
      <c r="F101" s="68"/>
      <c r="G101" s="181">
        <v>65278</v>
      </c>
      <c r="H101" s="182"/>
      <c r="I101" s="182"/>
    </row>
    <row r="102" spans="1:7" s="136" customFormat="1" ht="15.75">
      <c r="A102" s="130" t="s">
        <v>187</v>
      </c>
      <c r="B102" s="70" t="s">
        <v>50</v>
      </c>
      <c r="C102" s="66" t="e">
        <f>#REF!+C103</f>
        <v>#REF!</v>
      </c>
      <c r="D102" s="66" t="e">
        <f>#REF!+D103</f>
        <v>#REF!</v>
      </c>
      <c r="E102" s="66">
        <f aca="true" t="shared" si="4" ref="E102:G103">E103</f>
        <v>2140</v>
      </c>
      <c r="F102" s="66">
        <f t="shared" si="4"/>
        <v>0</v>
      </c>
      <c r="G102" s="66">
        <f t="shared" si="4"/>
        <v>2200</v>
      </c>
    </row>
    <row r="103" spans="1:30" s="134" customFormat="1" ht="63">
      <c r="A103" s="130" t="s">
        <v>17</v>
      </c>
      <c r="B103" s="70" t="s">
        <v>18</v>
      </c>
      <c r="C103" s="66">
        <f>C104</f>
        <v>14400</v>
      </c>
      <c r="D103" s="66">
        <f>D104</f>
        <v>0</v>
      </c>
      <c r="E103" s="66">
        <f t="shared" si="4"/>
        <v>2140</v>
      </c>
      <c r="F103" s="66">
        <f t="shared" si="4"/>
        <v>0</v>
      </c>
      <c r="G103" s="66">
        <f t="shared" si="4"/>
        <v>2200</v>
      </c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</row>
    <row r="104" spans="1:30" s="134" customFormat="1" ht="49.5" customHeight="1">
      <c r="A104" s="131" t="s">
        <v>186</v>
      </c>
      <c r="B104" s="71" t="s">
        <v>19</v>
      </c>
      <c r="C104" s="68">
        <v>14400</v>
      </c>
      <c r="D104" s="145"/>
      <c r="E104" s="68">
        <f>2200-60</f>
        <v>2140</v>
      </c>
      <c r="F104" s="119"/>
      <c r="G104" s="68">
        <v>2200</v>
      </c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</row>
    <row r="105" spans="1:7" s="136" customFormat="1" ht="15.75">
      <c r="A105" s="132" t="s">
        <v>55</v>
      </c>
      <c r="B105" s="120"/>
      <c r="C105" s="66" t="e">
        <f>C58+C59</f>
        <v>#REF!</v>
      </c>
      <c r="D105" s="66" t="e">
        <f>D58+D59</f>
        <v>#REF!</v>
      </c>
      <c r="E105" s="66">
        <f>E58+E59</f>
        <v>377126548</v>
      </c>
      <c r="F105" s="66" t="e">
        <f>F58+F59</f>
        <v>#REF!</v>
      </c>
      <c r="G105" s="66">
        <f>G58+G59</f>
        <v>356551828</v>
      </c>
    </row>
    <row r="106" spans="1:7" s="4" customFormat="1" ht="12.75">
      <c r="A106" s="8"/>
      <c r="B106" s="42"/>
      <c r="C106" s="8"/>
      <c r="D106" s="77"/>
      <c r="E106" s="101"/>
      <c r="F106" s="102"/>
      <c r="G106" s="103"/>
    </row>
    <row r="107" ht="12.75">
      <c r="C107" s="72"/>
    </row>
    <row r="118" spans="1:7" s="4" customFormat="1" ht="15.75">
      <c r="A118" s="8"/>
      <c r="B118" s="42"/>
      <c r="C118" s="171">
        <f>36540+24357.44</f>
        <v>60897.44</v>
      </c>
      <c r="D118" s="78"/>
      <c r="E118" s="101"/>
      <c r="F118" s="104"/>
      <c r="G118" s="103"/>
    </row>
    <row r="119" spans="1:7" s="4" customFormat="1" ht="12.75">
      <c r="A119" s="8"/>
      <c r="B119" s="42"/>
      <c r="C119" s="8"/>
      <c r="D119" s="79"/>
      <c r="E119" s="101"/>
      <c r="F119" s="105"/>
      <c r="G119" s="103"/>
    </row>
    <row r="120" spans="2:7" s="8" customFormat="1" ht="12.75">
      <c r="B120" s="42"/>
      <c r="D120" s="74"/>
      <c r="E120" s="106"/>
      <c r="F120" s="97"/>
      <c r="G120" s="107"/>
    </row>
    <row r="121" spans="1:7" s="4" customFormat="1" ht="12.75">
      <c r="A121" s="8"/>
      <c r="B121" s="42"/>
      <c r="C121" s="8"/>
      <c r="D121" s="79"/>
      <c r="E121" s="101"/>
      <c r="F121" s="105"/>
      <c r="G121" s="103"/>
    </row>
    <row r="122" spans="2:7" s="8" customFormat="1" ht="12.75">
      <c r="B122" s="42"/>
      <c r="D122" s="74"/>
      <c r="E122" s="106"/>
      <c r="F122" s="97"/>
      <c r="G122" s="107"/>
    </row>
    <row r="123" spans="1:7" s="4" customFormat="1" ht="12.75">
      <c r="A123" s="8"/>
      <c r="B123" s="42"/>
      <c r="C123" s="8"/>
      <c r="D123" s="79"/>
      <c r="E123" s="101"/>
      <c r="F123" s="105"/>
      <c r="G123" s="103"/>
    </row>
    <row r="124" spans="2:7" s="8" customFormat="1" ht="12.75">
      <c r="B124" s="42"/>
      <c r="D124" s="74"/>
      <c r="E124" s="106"/>
      <c r="F124" s="97"/>
      <c r="G124" s="107"/>
    </row>
    <row r="125" spans="2:7" s="8" customFormat="1" ht="12.75">
      <c r="B125" s="42"/>
      <c r="D125" s="80"/>
      <c r="E125" s="106"/>
      <c r="F125" s="108"/>
      <c r="G125" s="107"/>
    </row>
    <row r="126" spans="2:7" s="8" customFormat="1" ht="12.75">
      <c r="B126" s="42"/>
      <c r="D126" s="80"/>
      <c r="E126" s="106"/>
      <c r="F126" s="108"/>
      <c r="G126" s="107"/>
    </row>
    <row r="127" spans="1:7" s="7" customFormat="1" ht="15.75">
      <c r="A127" s="8"/>
      <c r="B127" s="42"/>
      <c r="C127" s="8"/>
      <c r="D127" s="78"/>
      <c r="E127" s="109"/>
      <c r="F127" s="104"/>
      <c r="G127" s="110"/>
    </row>
  </sheetData>
  <sheetProtection/>
  <mergeCells count="11">
    <mergeCell ref="A10:A11"/>
    <mergeCell ref="B10:B11"/>
    <mergeCell ref="E10:G10"/>
    <mergeCell ref="B4:C4"/>
    <mergeCell ref="B5:C5"/>
    <mergeCell ref="B1:G1"/>
    <mergeCell ref="B2:G2"/>
    <mergeCell ref="B3:G3"/>
    <mergeCell ref="B9:G9"/>
    <mergeCell ref="A7:G7"/>
    <mergeCell ref="E4:G4"/>
  </mergeCells>
  <printOptions/>
  <pageMargins left="0.7874015748031497" right="0.2755905511811024" top="0.3937007874015748" bottom="0.2755905511811024" header="0.5118110236220472" footer="0.15748031496062992"/>
  <pageSetup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Матвеева И.А</cp:lastModifiedBy>
  <cp:lastPrinted>2015-12-23T14:20:29Z</cp:lastPrinted>
  <dcterms:created xsi:type="dcterms:W3CDTF">2002-10-10T06:25:05Z</dcterms:created>
  <dcterms:modified xsi:type="dcterms:W3CDTF">2015-12-28T11:43:14Z</dcterms:modified>
  <cp:category/>
  <cp:version/>
  <cp:contentType/>
  <cp:contentStatus/>
</cp:coreProperties>
</file>