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36" windowWidth="15300" windowHeight="5592"/>
  </bookViews>
  <sheets>
    <sheet name="мун.прогр.2020-2024 Прил.2" sheetId="1" r:id="rId1"/>
  </sheets>
  <calcPr calcId="145621"/>
</workbook>
</file>

<file path=xl/calcChain.xml><?xml version="1.0" encoding="utf-8"?>
<calcChain xmlns="http://schemas.openxmlformats.org/spreadsheetml/2006/main">
  <c r="F57" i="1" l="1"/>
  <c r="E56" i="1"/>
  <c r="F56" i="1" s="1"/>
  <c r="F55" i="1"/>
  <c r="E55" i="1"/>
  <c r="G55" i="1" s="1"/>
  <c r="E54" i="1"/>
  <c r="G53" i="1"/>
  <c r="F53" i="1"/>
  <c r="F52" i="1"/>
  <c r="E52" i="1"/>
  <c r="G52" i="1" s="1"/>
  <c r="G51" i="1"/>
  <c r="F51" i="1"/>
  <c r="G50" i="1"/>
  <c r="F50" i="1"/>
  <c r="E49" i="1"/>
  <c r="F49" i="1" s="1"/>
  <c r="F48" i="1"/>
  <c r="E48" i="1"/>
  <c r="G48" i="1" s="1"/>
  <c r="E47" i="1"/>
  <c r="F47" i="1" s="1"/>
  <c r="E45" i="1"/>
  <c r="F45" i="1" s="1"/>
  <c r="G44" i="1"/>
  <c r="F44" i="1"/>
  <c r="G42" i="1"/>
  <c r="F42" i="1"/>
  <c r="G41" i="1"/>
  <c r="F41" i="1"/>
  <c r="F40" i="1"/>
  <c r="E40" i="1"/>
  <c r="G40" i="1" s="1"/>
  <c r="F39" i="1"/>
  <c r="G38" i="1"/>
  <c r="F38" i="1"/>
  <c r="E37" i="1"/>
  <c r="F37" i="1" s="1"/>
  <c r="G36" i="1"/>
  <c r="F36" i="1"/>
  <c r="G35" i="1"/>
  <c r="F35" i="1"/>
  <c r="F34" i="1"/>
  <c r="E34" i="1"/>
  <c r="G34" i="1" s="1"/>
  <c r="G33" i="1"/>
  <c r="F33" i="1"/>
  <c r="E32" i="1"/>
  <c r="F32" i="1" s="1"/>
  <c r="G31" i="1"/>
  <c r="F31" i="1"/>
  <c r="G30" i="1"/>
  <c r="F30" i="1"/>
  <c r="F29" i="1"/>
  <c r="E29" i="1"/>
  <c r="G29" i="1" s="1"/>
  <c r="E28" i="1"/>
  <c r="F28" i="1" s="1"/>
  <c r="F27" i="1"/>
  <c r="E27" i="1"/>
  <c r="G27" i="1" s="1"/>
  <c r="E26" i="1"/>
  <c r="F26" i="1" s="1"/>
  <c r="F25" i="1"/>
  <c r="E25" i="1"/>
  <c r="G25" i="1" s="1"/>
  <c r="E24" i="1"/>
  <c r="F24" i="1" s="1"/>
  <c r="E22" i="1"/>
  <c r="F22" i="1" s="1"/>
  <c r="G20" i="1"/>
  <c r="F20" i="1"/>
  <c r="E19" i="1"/>
  <c r="F19" i="1" s="1"/>
  <c r="G18" i="1"/>
  <c r="F18" i="1"/>
  <c r="F17" i="1"/>
  <c r="E17" i="1"/>
  <c r="G17" i="1" s="1"/>
  <c r="F16" i="1"/>
  <c r="G15" i="1"/>
  <c r="F15" i="1"/>
  <c r="G14" i="1"/>
  <c r="F14" i="1"/>
  <c r="F13" i="1"/>
  <c r="E13" i="1"/>
  <c r="G13" i="1" s="1"/>
  <c r="G12" i="1"/>
  <c r="F12" i="1"/>
  <c r="G11" i="1"/>
  <c r="F11" i="1"/>
  <c r="E10" i="1"/>
  <c r="F10" i="1" s="1"/>
  <c r="G10" i="1" l="1"/>
  <c r="G19" i="1"/>
  <c r="G22" i="1"/>
  <c r="G24" i="1"/>
  <c r="G26" i="1"/>
  <c r="G28" i="1"/>
  <c r="G32" i="1"/>
  <c r="G37" i="1"/>
  <c r="G45" i="1"/>
  <c r="G47" i="1"/>
  <c r="G49" i="1"/>
  <c r="G54" i="1"/>
  <c r="E9" i="1"/>
  <c r="E21" i="1"/>
  <c r="E23" i="1"/>
  <c r="E43" i="1"/>
  <c r="E46" i="1"/>
  <c r="F54" i="1"/>
  <c r="I30" i="1"/>
  <c r="L57" i="1"/>
  <c r="I57" i="1"/>
  <c r="K56" i="1"/>
  <c r="M56" i="1" s="1"/>
  <c r="H56" i="1"/>
  <c r="J56" i="1" s="1"/>
  <c r="K55" i="1"/>
  <c r="M55" i="1" s="1"/>
  <c r="H55" i="1"/>
  <c r="H54" i="1" s="1"/>
  <c r="K54" i="1"/>
  <c r="D54" i="1"/>
  <c r="C54" i="1"/>
  <c r="C58" i="1" s="1"/>
  <c r="M53" i="1"/>
  <c r="L53" i="1"/>
  <c r="J53" i="1"/>
  <c r="I53" i="1"/>
  <c r="K52" i="1"/>
  <c r="J52" i="1"/>
  <c r="H52" i="1"/>
  <c r="M52" i="1" s="1"/>
  <c r="M51" i="1"/>
  <c r="L51" i="1"/>
  <c r="J51" i="1"/>
  <c r="I51" i="1"/>
  <c r="M50" i="1"/>
  <c r="L50" i="1"/>
  <c r="J50" i="1"/>
  <c r="I50" i="1"/>
  <c r="K49" i="1"/>
  <c r="M49" i="1" s="1"/>
  <c r="H49" i="1"/>
  <c r="J49" i="1" s="1"/>
  <c r="D49" i="1"/>
  <c r="C49" i="1"/>
  <c r="K48" i="1"/>
  <c r="M48" i="1" s="1"/>
  <c r="J48" i="1"/>
  <c r="H48" i="1"/>
  <c r="I48" i="1" s="1"/>
  <c r="K47" i="1"/>
  <c r="K46" i="1" s="1"/>
  <c r="H47" i="1"/>
  <c r="I47" i="1" s="1"/>
  <c r="H46" i="1"/>
  <c r="D46" i="1"/>
  <c r="C46" i="1"/>
  <c r="M45" i="1"/>
  <c r="L45" i="1"/>
  <c r="I45" i="1"/>
  <c r="M44" i="1"/>
  <c r="L44" i="1"/>
  <c r="J44" i="1"/>
  <c r="I44" i="1"/>
  <c r="K43" i="1"/>
  <c r="M43" i="1" s="1"/>
  <c r="H43" i="1"/>
  <c r="J43" i="1" s="1"/>
  <c r="D43" i="1"/>
  <c r="C43" i="1"/>
  <c r="M42" i="1"/>
  <c r="L42" i="1"/>
  <c r="J42" i="1"/>
  <c r="I42" i="1"/>
  <c r="M41" i="1"/>
  <c r="L41" i="1"/>
  <c r="J41" i="1"/>
  <c r="I41" i="1"/>
  <c r="K40" i="1"/>
  <c r="M40" i="1" s="1"/>
  <c r="J40" i="1"/>
  <c r="H40" i="1"/>
  <c r="I40" i="1" s="1"/>
  <c r="D40" i="1"/>
  <c r="C40" i="1"/>
  <c r="L39" i="1"/>
  <c r="I39" i="1"/>
  <c r="D39" i="1"/>
  <c r="M38" i="1"/>
  <c r="L38" i="1"/>
  <c r="J38" i="1"/>
  <c r="I38" i="1"/>
  <c r="D38" i="1"/>
  <c r="K37" i="1"/>
  <c r="M37" i="1" s="1"/>
  <c r="H37" i="1"/>
  <c r="J37" i="1" s="1"/>
  <c r="D37" i="1"/>
  <c r="C37" i="1"/>
  <c r="M36" i="1"/>
  <c r="L36" i="1"/>
  <c r="J36" i="1"/>
  <c r="I36" i="1"/>
  <c r="M35" i="1"/>
  <c r="L35" i="1"/>
  <c r="J35" i="1"/>
  <c r="I35" i="1"/>
  <c r="K34" i="1"/>
  <c r="M34" i="1" s="1"/>
  <c r="H34" i="1"/>
  <c r="J34" i="1"/>
  <c r="D34" i="1"/>
  <c r="C34" i="1"/>
  <c r="M33" i="1"/>
  <c r="L33" i="1"/>
  <c r="J33" i="1"/>
  <c r="I33" i="1"/>
  <c r="K32" i="1"/>
  <c r="M32" i="1" s="1"/>
  <c r="H32" i="1"/>
  <c r="J32" i="1" s="1"/>
  <c r="D32" i="1"/>
  <c r="C32" i="1"/>
  <c r="M31" i="1"/>
  <c r="L31" i="1"/>
  <c r="J31" i="1"/>
  <c r="I31" i="1"/>
  <c r="M30" i="1"/>
  <c r="L30" i="1"/>
  <c r="J30" i="1"/>
  <c r="K29" i="1"/>
  <c r="M29" i="1" s="1"/>
  <c r="H29" i="1"/>
  <c r="J29" i="1"/>
  <c r="D29" i="1"/>
  <c r="H28" i="1"/>
  <c r="J28" i="1" s="1"/>
  <c r="D28" i="1"/>
  <c r="C28" i="1"/>
  <c r="K27" i="1"/>
  <c r="M27" i="1" s="1"/>
  <c r="H27" i="1"/>
  <c r="J27" i="1" s="1"/>
  <c r="D27" i="1"/>
  <c r="K26" i="1"/>
  <c r="J26" i="1"/>
  <c r="H26" i="1"/>
  <c r="M26" i="1" s="1"/>
  <c r="D26" i="1"/>
  <c r="D23" i="1" s="1"/>
  <c r="K25" i="1"/>
  <c r="M25" i="1" s="1"/>
  <c r="H25" i="1"/>
  <c r="J25" i="1" s="1"/>
  <c r="M24" i="1"/>
  <c r="L24" i="1"/>
  <c r="J24" i="1"/>
  <c r="I24" i="1"/>
  <c r="K23" i="1"/>
  <c r="C23" i="1"/>
  <c r="M22" i="1"/>
  <c r="L22" i="1"/>
  <c r="I22" i="1"/>
  <c r="J22" i="1"/>
  <c r="D22" i="1"/>
  <c r="K21" i="1"/>
  <c r="J21" i="1"/>
  <c r="H21" i="1"/>
  <c r="M21" i="1" s="1"/>
  <c r="C21" i="1"/>
  <c r="M20" i="1"/>
  <c r="L20" i="1"/>
  <c r="J20" i="1"/>
  <c r="I20" i="1"/>
  <c r="K19" i="1"/>
  <c r="M19" i="1" s="1"/>
  <c r="H19" i="1"/>
  <c r="J19" i="1" s="1"/>
  <c r="D19" i="1"/>
  <c r="C19" i="1"/>
  <c r="L18" i="1"/>
  <c r="I18" i="1"/>
  <c r="K17" i="1"/>
  <c r="L17" i="1" s="1"/>
  <c r="H17" i="1"/>
  <c r="I17" i="1" s="1"/>
  <c r="D17" i="1"/>
  <c r="C17" i="1"/>
  <c r="L16" i="1"/>
  <c r="I16" i="1"/>
  <c r="M15" i="1"/>
  <c r="L15" i="1"/>
  <c r="J15" i="1"/>
  <c r="I15" i="1"/>
  <c r="D15" i="1"/>
  <c r="M14" i="1"/>
  <c r="L14" i="1"/>
  <c r="J14" i="1"/>
  <c r="I14" i="1"/>
  <c r="D14" i="1"/>
  <c r="K13" i="1"/>
  <c r="M13" i="1" s="1"/>
  <c r="H13" i="1"/>
  <c r="J13" i="1" s="1"/>
  <c r="D13" i="1"/>
  <c r="C13" i="1"/>
  <c r="M12" i="1"/>
  <c r="L12" i="1"/>
  <c r="J12" i="1"/>
  <c r="I12" i="1"/>
  <c r="M11" i="1"/>
  <c r="L11" i="1"/>
  <c r="J11" i="1"/>
  <c r="I11" i="1"/>
  <c r="M10" i="1"/>
  <c r="L10" i="1"/>
  <c r="I10" i="1"/>
  <c r="D10" i="1"/>
  <c r="K9" i="1"/>
  <c r="M9" i="1" s="1"/>
  <c r="H9" i="1"/>
  <c r="D9" i="1"/>
  <c r="C9" i="1"/>
  <c r="G43" i="1" l="1"/>
  <c r="F43" i="1"/>
  <c r="F58" i="1" s="1"/>
  <c r="G21" i="1"/>
  <c r="F21" i="1"/>
  <c r="E58" i="1"/>
  <c r="G58" i="1" s="1"/>
  <c r="G46" i="1"/>
  <c r="F46" i="1"/>
  <c r="G23" i="1"/>
  <c r="F23" i="1"/>
  <c r="G9" i="1"/>
  <c r="F9" i="1"/>
  <c r="J46" i="1"/>
  <c r="L54" i="1"/>
  <c r="M46" i="1"/>
  <c r="L46" i="1"/>
  <c r="M54" i="1"/>
  <c r="I54" i="1"/>
  <c r="J54" i="1"/>
  <c r="L13" i="1"/>
  <c r="L25" i="1"/>
  <c r="L27" i="1"/>
  <c r="I28" i="1"/>
  <c r="L32" i="1"/>
  <c r="L37" i="1"/>
  <c r="L56" i="1"/>
  <c r="L9" i="1"/>
  <c r="I13" i="1"/>
  <c r="L19" i="1"/>
  <c r="H23" i="1"/>
  <c r="L23" i="1"/>
  <c r="I25" i="1"/>
  <c r="I27" i="1"/>
  <c r="L29" i="1"/>
  <c r="I32" i="1"/>
  <c r="L34" i="1"/>
  <c r="I37" i="1"/>
  <c r="L43" i="1"/>
  <c r="J45" i="1"/>
  <c r="L47" i="1"/>
  <c r="L49" i="1"/>
  <c r="I55" i="1"/>
  <c r="I56" i="1"/>
  <c r="K58" i="1"/>
  <c r="J10" i="1"/>
  <c r="L55" i="1"/>
  <c r="I19" i="1"/>
  <c r="D21" i="1"/>
  <c r="L21" i="1"/>
  <c r="L26" i="1"/>
  <c r="K28" i="1"/>
  <c r="I29" i="1"/>
  <c r="I34" i="1"/>
  <c r="L40" i="1"/>
  <c r="I43" i="1"/>
  <c r="I46" i="1"/>
  <c r="L48" i="1"/>
  <c r="I49" i="1"/>
  <c r="L52" i="1"/>
  <c r="J55" i="1"/>
  <c r="I21" i="1"/>
  <c r="I26" i="1"/>
  <c r="I52" i="1"/>
  <c r="J23" i="1" l="1"/>
  <c r="I23" i="1"/>
  <c r="L28" i="1"/>
  <c r="M28" i="1"/>
  <c r="J9" i="1"/>
  <c r="I9" i="1"/>
  <c r="I58" i="1" s="1"/>
  <c r="D58" i="1"/>
  <c r="H58" i="1"/>
  <c r="J58" i="1" s="1"/>
  <c r="M23" i="1"/>
  <c r="L58" i="1"/>
  <c r="M58" i="1" l="1"/>
</calcChain>
</file>

<file path=xl/sharedStrings.xml><?xml version="1.0" encoding="utf-8"?>
<sst xmlns="http://schemas.openxmlformats.org/spreadsheetml/2006/main" count="119" uniqueCount="115">
  <si>
    <t>Итого:</t>
  </si>
  <si>
    <t>9910000000</t>
  </si>
  <si>
    <t xml:space="preserve">  Непрограммная часть Совета депутатов ЗАТО Видяево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</si>
  <si>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</si>
  <si>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</si>
  <si>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</si>
  <si>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</si>
  <si>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</si>
  <si>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</si>
  <si>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</si>
  <si>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</si>
  <si>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8300000000</t>
  </si>
  <si>
    <t>Муниципальная программа "Эффективное муниципальное управление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</si>
  <si>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</si>
  <si>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</si>
  <si>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</si>
  <si>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</si>
  <si>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</si>
  <si>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</si>
  <si>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8120000000</t>
  </si>
  <si>
    <t xml:space="preserve">  Подпрограмма 2 "Развитие информационного общества в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</si>
  <si>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</si>
  <si>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</si>
  <si>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8100000000</t>
  </si>
  <si>
    <t>Муниципальная программа "Информационное общество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</si>
  <si>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</si>
  <si>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</si>
  <si>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8000000000</t>
  </si>
  <si>
    <t>Муниципальная программа "Развитие малого и среднего предпринимательства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</si>
  <si>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</si>
  <si>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</si>
  <si>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7900000000</t>
  </si>
  <si>
    <t>Муниципальная программа "Энергоэффективность и развитие энергетики в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</si>
  <si>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</si>
  <si>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</si>
  <si>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7810000000</t>
  </si>
  <si>
    <t xml:space="preserve">  Подпрограмма 1 "Развитие транспортной инфраструктуры ЗАТО Видяево"</t>
  </si>
  <si>
    <t>7800000000</t>
  </si>
  <si>
    <t>Муниципальная программа "Развитие транспортной системы ЗАТО Видяево"</t>
  </si>
  <si>
    <t>7710000000</t>
  </si>
  <si>
    <t xml:space="preserve">  Подпрограмма 1 "Охрана окружающей среды ЗАТО Видяево"</t>
  </si>
  <si>
    <t>7700000000</t>
  </si>
  <si>
    <t>Муниципальная программа "Охрана окружающей среды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</si>
  <si>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</si>
  <si>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</si>
  <si>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7620000000</t>
  </si>
  <si>
    <t xml:space="preserve">  Подпрограмма 2 "Противодействие коррупции в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</si>
  <si>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</si>
  <si>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</si>
  <si>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</si>
  <si>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</si>
  <si>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</si>
  <si>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</si>
  <si>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</si>
  <si>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</si>
  <si>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7520000000</t>
  </si>
  <si>
    <t xml:space="preserve">  Подпрограмма 2 "Благоустройство территории ЗАТО Видяево"</t>
  </si>
  <si>
    <t>7510000000</t>
  </si>
  <si>
    <t xml:space="preserve">  Подпрограмма 1 "Развитие жилищно-коммунального комплекса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</si>
  <si>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</si>
  <si>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</si>
  <si>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</si>
  <si>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</si>
  <si>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</si>
  <si>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</si>
  <si>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7310000000</t>
  </si>
  <si>
    <t xml:space="preserve">  Подпрограмма 1 "Развитие физической культуры и спорта в ЗАТО Видяево"</t>
  </si>
  <si>
    <t>7300000000</t>
  </si>
  <si>
    <t>Муниципальная программа "Развитие физической культуры и спорта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</si>
  <si>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</si>
  <si>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</si>
  <si>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</si>
  <si>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</si>
  <si>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</si>
  <si>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</si>
  <si>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</si>
  <si>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</si>
  <si>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7100000000</t>
  </si>
  <si>
    <t>Муниципальная программа "Социальная поддержка граждан"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</si>
  <si>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</si>
  <si>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</si>
  <si>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7020000000</t>
  </si>
  <si>
    <t xml:space="preserve">  Подпрограмма 2 "Молодежная политика ЗАТО Видяево"</t>
  </si>
  <si>
    <t>7010000000</t>
  </si>
  <si>
    <t xml:space="preserve">  Подпрограмма 1 "Модернизация образования ЗАТО Видяево"</t>
  </si>
  <si>
    <t>7000000000</t>
  </si>
  <si>
    <t>Муниципальная программа "Развитие образования ЗАТО Видяево"</t>
  </si>
  <si>
    <t>сумма отклонений к предыдущему году</t>
  </si>
  <si>
    <t>проект</t>
  </si>
  <si>
    <t>Раздел</t>
  </si>
  <si>
    <t>Наименование</t>
  </si>
  <si>
    <t>руб.</t>
  </si>
  <si>
    <t>7130000000</t>
  </si>
  <si>
    <t xml:space="preserve">                      к Пояснительной записке</t>
  </si>
  <si>
    <t xml:space="preserve">                                       Приложение 2</t>
  </si>
  <si>
    <t>Проект на 2022 год</t>
  </si>
  <si>
    <t xml:space="preserve">   Подпрограмма 3 "Доступная среда"</t>
  </si>
  <si>
    <t xml:space="preserve"> Подпрограмма 2 "Поддержка социально ориентированных некоммерческих организаций ЗАТО Видяево"</t>
  </si>
  <si>
    <t>8020000000</t>
  </si>
  <si>
    <t>Проект на 2023 год</t>
  </si>
  <si>
    <t>9900000000</t>
  </si>
  <si>
    <t>9990000000</t>
  </si>
  <si>
    <t>Муниципальные программы-2020-2024 годы</t>
  </si>
  <si>
    <t>2020 год (Исполнение)</t>
  </si>
  <si>
    <t>2021 год (Ожидаемое исполнение)</t>
  </si>
  <si>
    <t>Проект на 2024 год</t>
  </si>
  <si>
    <t>Темп роста к 2020 году</t>
  </si>
  <si>
    <t>Темп роста к 2021 году</t>
  </si>
  <si>
    <t>Темп роста к 2022 году</t>
  </si>
  <si>
    <t xml:space="preserve">  Непрограммная часть </t>
  </si>
  <si>
    <t xml:space="preserve">  Непрограммная часть контрольно-счетной комиссии ЗАТО Видяево</t>
  </si>
  <si>
    <t>9920000000</t>
  </si>
  <si>
    <t xml:space="preserve"> Иная  непрограммная деятельность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</si>
  <si>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</si>
  <si>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7920000000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</si>
</sst>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" fontId="4" fillId="3" borderId="4">
      <alignment horizontal="right" vertical="top" shrinkToFit="1"/>
    </xf>
    <xf numFmtId="49" fontId="4" fillId="0" borderId="4">
      <alignment horizontal="left" vertical="top" wrapText="1"/>
    </xf>
    <xf numFmtId="0" fontId="4" fillId="0" borderId="4">
      <alignment horizontal="center" vertical="center" wrapText="1"/>
    </xf>
    <xf numFmtId="0" fontId="10" fillId="0" borderId="4">
      <alignment horizontal="left"/>
    </xf>
    <xf numFmtId="4" fontId="10" fillId="6" borderId="4">
      <alignment horizontal="right" vertical="top" shrinkToFit="1"/>
    </xf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4" fontId="5" fillId="4" borderId="5" xfId="1" applyFont="1" applyFill="1" applyBorder="1" applyAlignment="1" applyProtection="1">
      <alignment horizontal="center" vertical="center" shrinkToFit="1"/>
    </xf>
    <xf numFmtId="4" fontId="5" fillId="4" borderId="6" xfId="1" applyFont="1" applyFill="1" applyBorder="1" applyAlignment="1" applyProtection="1">
      <alignment horizontal="center" vertical="center" shrinkToFit="1"/>
    </xf>
    <xf numFmtId="0" fontId="5" fillId="4" borderId="5" xfId="2" quotePrefix="1" applyNumberFormat="1" applyFont="1" applyFill="1" applyBorder="1" applyAlignment="1" applyProtection="1">
      <alignment vertical="center" wrapText="1"/>
    </xf>
    <xf numFmtId="0" fontId="5" fillId="4" borderId="5" xfId="2" quotePrefix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5" fillId="2" borderId="5" xfId="2" quotePrefix="1" applyNumberFormat="1" applyFont="1" applyFill="1" applyBorder="1" applyAlignment="1" applyProtection="1">
      <alignment horizontal="left" vertical="center" wrapText="1"/>
    </xf>
    <xf numFmtId="4" fontId="5" fillId="2" borderId="5" xfId="1" applyFont="1" applyFill="1" applyBorder="1" applyAlignment="1" applyProtection="1">
      <alignment horizontal="center" vertical="center" shrinkToFit="1"/>
    </xf>
    <xf numFmtId="4" fontId="5" fillId="2" borderId="6" xfId="1" applyFont="1" applyFill="1" applyBorder="1" applyAlignment="1" applyProtection="1">
      <alignment horizontal="center" vertical="center" shrinkToFi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7" fillId="4" borderId="5" xfId="2" quotePrefix="1" applyNumberFormat="1" applyFont="1" applyFill="1" applyBorder="1" applyAlignment="1" applyProtection="1">
      <alignment horizontal="left" vertical="center" wrapText="1"/>
    </xf>
    <xf numFmtId="0" fontId="3" fillId="7" borderId="2" xfId="0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center" vertical="center"/>
    </xf>
    <xf numFmtId="4" fontId="7" fillId="4" borderId="5" xfId="1" applyFont="1" applyFill="1" applyBorder="1" applyAlignment="1" applyProtection="1">
      <alignment horizontal="center" vertical="center" shrinkToFit="1"/>
    </xf>
    <xf numFmtId="4" fontId="2" fillId="4" borderId="3" xfId="0" applyNumberFormat="1" applyFont="1" applyFill="1" applyBorder="1" applyAlignment="1">
      <alignment horizontal="center" vertical="center"/>
    </xf>
    <xf numFmtId="0" fontId="5" fillId="2" borderId="3" xfId="2" quotePrefix="1" applyNumberFormat="1" applyFont="1" applyFill="1" applyBorder="1" applyAlignment="1" applyProtection="1">
      <alignment horizontal="center" vertical="center" wrapText="1"/>
    </xf>
    <xf numFmtId="0" fontId="5" fillId="4" borderId="3" xfId="2" quotePrefix="1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>
      <alignment vertical="center"/>
    </xf>
    <xf numFmtId="4" fontId="7" fillId="2" borderId="10" xfId="1" applyFont="1" applyFill="1" applyBorder="1" applyAlignment="1" applyProtection="1">
      <alignment horizontal="center" vertical="center" shrinkToFit="1"/>
    </xf>
    <xf numFmtId="4" fontId="5" fillId="2" borderId="11" xfId="1" applyFont="1" applyFill="1" applyBorder="1" applyAlignment="1" applyProtection="1">
      <alignment horizontal="center" vertical="center" shrinkToFit="1"/>
    </xf>
    <xf numFmtId="4" fontId="7" fillId="4" borderId="10" xfId="1" applyFont="1" applyFill="1" applyBorder="1" applyAlignment="1" applyProtection="1">
      <alignment horizontal="center" vertical="center" shrinkToFit="1"/>
    </xf>
    <xf numFmtId="4" fontId="5" fillId="4" borderId="11" xfId="1" applyFont="1" applyFill="1" applyBorder="1" applyAlignment="1" applyProtection="1">
      <alignment horizontal="center" vertical="center" shrinkToFit="1"/>
    </xf>
    <xf numFmtId="4" fontId="11" fillId="7" borderId="12" xfId="0" applyNumberFormat="1" applyFont="1" applyFill="1" applyBorder="1" applyAlignment="1">
      <alignment horizontal="center" vertical="center"/>
    </xf>
    <xf numFmtId="4" fontId="3" fillId="7" borderId="13" xfId="0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3" applyFont="1" applyFill="1" applyBorder="1" applyAlignment="1">
      <alignment horizontal="center" vertical="center" wrapText="1"/>
    </xf>
    <xf numFmtId="0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3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8" fillId="5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7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3" applyFont="1" applyFill="1" applyBorder="1" applyAlignment="1">
      <alignment horizontal="center" vertical="center" wrapText="1"/>
    </xf>
    <xf numFmtId="0" fontId="7" fillId="5" borderId="14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1" xfId="3" applyNumberFormat="1" applyFont="1" applyFill="1" applyBorder="1" applyAlignment="1" applyProtection="1">
      <alignment horizontal="center" vertical="center" wrapText="1"/>
      <protection locked="0"/>
    </xf>
    <xf numFmtId="4" fontId="3" fillId="7" borderId="2" xfId="0" applyNumberFormat="1" applyFont="1" applyFill="1" applyBorder="1" applyAlignment="1">
      <alignment horizontal="center" vertical="center"/>
    </xf>
    <xf numFmtId="4" fontId="3" fillId="7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4" borderId="11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3" applyFont="1" applyFill="1" applyBorder="1" applyAlignment="1">
      <alignment horizontal="center" vertical="center" wrapText="1"/>
    </xf>
    <xf numFmtId="4" fontId="12" fillId="7" borderId="13" xfId="1" applyFont="1" applyFill="1" applyBorder="1" applyAlignment="1" applyProtection="1">
      <alignment horizontal="center" vertical="center" shrinkToFit="1"/>
    </xf>
    <xf numFmtId="4" fontId="2" fillId="2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</cellXfs>
  <cellStyles count="6">
    <cellStyle name="xl29" xfId="3"/>
    <cellStyle name="xl33" xfId="4"/>
    <cellStyle name="xl34" xfId="5"/>
    <cellStyle name="xl38" xfId="2"/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zoomScale="60" zoomScaleNormal="100" workbookViewId="0">
      <selection activeCell="M49" sqref="M49"/>
    </sheetView>
  </sheetViews>
  <sheetFormatPr defaultRowHeight="30" customHeight="1" x14ac:dyDescent="0.3"/>
  <cols>
    <col min="1" max="1" width="31.109375" style="3" customWidth="1"/>
    <col min="2" max="2" width="11.6640625" style="3" customWidth="1"/>
    <col min="3" max="3" width="13.109375" style="2" customWidth="1"/>
    <col min="4" max="4" width="15.44140625" style="1" customWidth="1"/>
    <col min="5" max="5" width="13.109375" style="1" customWidth="1"/>
    <col min="6" max="6" width="12.88671875" style="1" customWidth="1"/>
    <col min="7" max="7" width="14.33203125" style="2" customWidth="1"/>
    <col min="8" max="8" width="13.44140625" style="1" bestFit="1" customWidth="1"/>
    <col min="9" max="9" width="15.33203125" style="8" customWidth="1"/>
    <col min="10" max="10" width="14" style="2" customWidth="1"/>
    <col min="11" max="11" width="13.44140625" style="1" bestFit="1" customWidth="1"/>
    <col min="12" max="12" width="13.5546875" style="8" customWidth="1"/>
  </cols>
  <sheetData>
    <row r="1" spans="1:13" ht="18.600000000000001" customHeight="1" x14ac:dyDescent="0.3">
      <c r="J1" s="38" t="s">
        <v>94</v>
      </c>
      <c r="K1" s="38"/>
      <c r="L1" s="38"/>
      <c r="M1" s="38"/>
    </row>
    <row r="2" spans="1:13" ht="13.95" customHeight="1" x14ac:dyDescent="0.3">
      <c r="J2" s="38" t="s">
        <v>93</v>
      </c>
      <c r="K2" s="38"/>
      <c r="L2" s="38"/>
      <c r="M2" s="38"/>
    </row>
    <row r="3" spans="1:13" ht="30" customHeight="1" x14ac:dyDescent="0.3">
      <c r="A3" s="39" t="s">
        <v>102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" customHeight="1" thickBot="1" x14ac:dyDescent="0.35">
      <c r="C4" s="3"/>
      <c r="D4" s="2"/>
      <c r="G4" s="1"/>
      <c r="H4" s="2"/>
      <c r="I4" s="1"/>
      <c r="J4" s="1"/>
      <c r="K4" s="2"/>
      <c r="L4" s="1"/>
      <c r="M4" s="1" t="s">
        <v>91</v>
      </c>
    </row>
    <row r="5" spans="1:13" s="1" customFormat="1" ht="13.95" customHeight="1" x14ac:dyDescent="0.25">
      <c r="A5" s="40" t="s">
        <v>90</v>
      </c>
      <c r="B5" s="42" t="s">
        <v>89</v>
      </c>
      <c r="C5" s="44" t="s">
        <v>103</v>
      </c>
      <c r="D5" s="48" t="s">
        <v>104</v>
      </c>
      <c r="E5" s="32" t="s">
        <v>95</v>
      </c>
      <c r="F5" s="33"/>
      <c r="G5" s="52"/>
      <c r="H5" s="32" t="s">
        <v>99</v>
      </c>
      <c r="I5" s="33"/>
      <c r="J5" s="52"/>
      <c r="K5" s="32" t="s">
        <v>105</v>
      </c>
      <c r="L5" s="33"/>
      <c r="M5" s="34"/>
    </row>
    <row r="6" spans="1:13" ht="15" customHeight="1" x14ac:dyDescent="0.3">
      <c r="A6" s="41"/>
      <c r="B6" s="43"/>
      <c r="C6" s="45"/>
      <c r="D6" s="49"/>
      <c r="E6" s="35"/>
      <c r="F6" s="36"/>
      <c r="G6" s="53"/>
      <c r="H6" s="35"/>
      <c r="I6" s="36"/>
      <c r="J6" s="53"/>
      <c r="K6" s="35"/>
      <c r="L6" s="36"/>
      <c r="M6" s="37"/>
    </row>
    <row r="7" spans="1:13" ht="85.95" customHeight="1" x14ac:dyDescent="0.3">
      <c r="A7" s="41"/>
      <c r="B7" s="43"/>
      <c r="C7" s="45"/>
      <c r="D7" s="49"/>
      <c r="E7" s="46" t="s">
        <v>88</v>
      </c>
      <c r="F7" s="28" t="s">
        <v>87</v>
      </c>
      <c r="G7" s="54" t="s">
        <v>106</v>
      </c>
      <c r="H7" s="46" t="s">
        <v>88</v>
      </c>
      <c r="I7" s="28" t="s">
        <v>87</v>
      </c>
      <c r="J7" s="54" t="s">
        <v>107</v>
      </c>
      <c r="K7" s="46" t="s">
        <v>88</v>
      </c>
      <c r="L7" s="28" t="s">
        <v>87</v>
      </c>
      <c r="M7" s="30" t="s">
        <v>108</v>
      </c>
    </row>
    <row r="8" spans="1:13" ht="3" customHeight="1" x14ac:dyDescent="0.3">
      <c r="A8" s="41"/>
      <c r="B8" s="43"/>
      <c r="C8" s="45"/>
      <c r="D8" s="49"/>
      <c r="E8" s="47"/>
      <c r="F8" s="29"/>
      <c r="G8" s="55"/>
      <c r="H8" s="47"/>
      <c r="I8" s="29"/>
      <c r="J8" s="55"/>
      <c r="K8" s="47"/>
      <c r="L8" s="29"/>
      <c r="M8" s="31"/>
    </row>
    <row r="9" spans="1:13" ht="30" customHeight="1" x14ac:dyDescent="0.3">
      <c r="A9" s="9" t="s">
        <v>86</v>
      </c>
      <c r="B9" s="19" t="s">
        <v>85</v>
      </c>
      <c r="C9" s="22">
        <f>C10+C11+C12</f>
        <v>229024960.10999998</v>
      </c>
      <c r="D9" s="23">
        <f>D10+D11+D12</f>
        <v>268697069.69999999</v>
      </c>
      <c r="E9" s="10">
        <f>E10+E11+E12</f>
        <v>276579789.17000002</v>
      </c>
      <c r="F9" s="11">
        <f>E9-D9</f>
        <v>7882719.4700000286</v>
      </c>
      <c r="G9" s="23">
        <f>E9/D9*100</f>
        <v>102.93368270774262</v>
      </c>
      <c r="H9" s="10">
        <f>H10+H11+H12</f>
        <v>265324631.43000001</v>
      </c>
      <c r="I9" s="57">
        <f>H9-E9</f>
        <v>-11255157.74000001</v>
      </c>
      <c r="J9" s="60">
        <f>H9/E9*100</f>
        <v>95.930592841300495</v>
      </c>
      <c r="K9" s="10">
        <f>K10+K11+K12</f>
        <v>265113484.38</v>
      </c>
      <c r="L9" s="57">
        <f>K9-H9</f>
        <v>-211147.05000001192</v>
      </c>
      <c r="M9" s="12">
        <f>K9/H9*100</f>
        <v>99.920419356144208</v>
      </c>
    </row>
    <row r="10" spans="1:13" ht="30" customHeight="1" x14ac:dyDescent="0.3">
      <c r="A10" s="7" t="s">
        <v>84</v>
      </c>
      <c r="B10" s="20" t="s">
        <v>83</v>
      </c>
      <c r="C10" s="24">
        <v>216968257.88</v>
      </c>
      <c r="D10" s="25">
        <f>238175401.13+15855000-38200+5387000-2856660-17300-692700</f>
        <v>255812541.13</v>
      </c>
      <c r="E10" s="17">
        <f>263789208.51-4894000+4146000</f>
        <v>263041208.50999999</v>
      </c>
      <c r="F10" s="5">
        <f>E10-D10</f>
        <v>7228667.3799999952</v>
      </c>
      <c r="G10" s="25">
        <f t="shared" ref="G10:G53" si="0">E10/D10*100</f>
        <v>102.82576739516711</v>
      </c>
      <c r="H10" s="4">
        <v>251656118.15000001</v>
      </c>
      <c r="I10" s="58">
        <f t="shared" ref="I10:I57" si="1">H10-E10</f>
        <v>-11385090.359999985</v>
      </c>
      <c r="J10" s="61">
        <f t="shared" ref="J10:J58" si="2">H10/E10*100</f>
        <v>95.671746482427238</v>
      </c>
      <c r="K10" s="4">
        <v>251016955.56</v>
      </c>
      <c r="L10" s="58">
        <f t="shared" ref="L10:L57" si="3">K10-H10</f>
        <v>-639162.59000000358</v>
      </c>
      <c r="M10" s="13">
        <f t="shared" ref="M10:M58" si="4">K10/H10*100</f>
        <v>99.746017464348299</v>
      </c>
    </row>
    <row r="11" spans="1:13" ht="41.4" customHeight="1" x14ac:dyDescent="0.3">
      <c r="A11" s="7" t="s">
        <v>82</v>
      </c>
      <c r="B11" s="20" t="s">
        <v>81</v>
      </c>
      <c r="C11" s="24">
        <v>693149.69</v>
      </c>
      <c r="D11" s="25">
        <v>1839079.42</v>
      </c>
      <c r="E11" s="17">
        <v>1937727.94</v>
      </c>
      <c r="F11" s="5">
        <f t="shared" ref="F11:F57" si="5">E11-D11</f>
        <v>98648.520000000019</v>
      </c>
      <c r="G11" s="25">
        <f t="shared" si="0"/>
        <v>105.36401630768073</v>
      </c>
      <c r="H11" s="4">
        <v>1937727.94</v>
      </c>
      <c r="I11" s="58">
        <f t="shared" si="1"/>
        <v>0</v>
      </c>
      <c r="J11" s="61">
        <f t="shared" si="2"/>
        <v>100</v>
      </c>
      <c r="K11" s="4">
        <v>1940727.94</v>
      </c>
      <c r="L11" s="58">
        <f t="shared" si="3"/>
        <v>3000</v>
      </c>
      <c r="M11" s="13">
        <f t="shared" si="4"/>
        <v>100.15482049559547</v>
      </c>
    </row>
    <row r="12" spans="1:13" ht="78.599999999999994" customHeight="1" x14ac:dyDescent="0.3">
      <c r="A12" s="7" t="s">
        <v>80</v>
      </c>
      <c r="B12" s="20" t="s">
        <v>79</v>
      </c>
      <c r="C12" s="24">
        <v>11363552.539999999</v>
      </c>
      <c r="D12" s="25">
        <v>11045449.15</v>
      </c>
      <c r="E12" s="17">
        <v>11600852.720000001</v>
      </c>
      <c r="F12" s="5">
        <f t="shared" si="5"/>
        <v>555403.5700000003</v>
      </c>
      <c r="G12" s="25">
        <f t="shared" si="0"/>
        <v>105.02834753442328</v>
      </c>
      <c r="H12" s="4">
        <v>11730785.34</v>
      </c>
      <c r="I12" s="58">
        <f t="shared" si="1"/>
        <v>129932.61999999918</v>
      </c>
      <c r="J12" s="61">
        <f t="shared" si="2"/>
        <v>101.12002645957219</v>
      </c>
      <c r="K12" s="4">
        <v>12155800.880000001</v>
      </c>
      <c r="L12" s="58">
        <f t="shared" si="3"/>
        <v>425015.54000000097</v>
      </c>
      <c r="M12" s="13">
        <f t="shared" si="4"/>
        <v>103.62307831642583</v>
      </c>
    </row>
    <row r="13" spans="1:13" ht="77.25" customHeight="1" x14ac:dyDescent="0.3">
      <c r="A13" s="9" t="s">
        <v>78</v>
      </c>
      <c r="B13" s="19" t="s">
        <v>77</v>
      </c>
      <c r="C13" s="22">
        <f>C14+C15+C16</f>
        <v>16288301.440000001</v>
      </c>
      <c r="D13" s="23">
        <f>D14+D15+D16</f>
        <v>19132879</v>
      </c>
      <c r="E13" s="10">
        <f>E14+E15+E16</f>
        <v>19738528</v>
      </c>
      <c r="F13" s="11">
        <f t="shared" si="5"/>
        <v>605649</v>
      </c>
      <c r="G13" s="23">
        <f t="shared" si="0"/>
        <v>103.16548805854049</v>
      </c>
      <c r="H13" s="10">
        <f>H14+H15+H16</f>
        <v>19954507</v>
      </c>
      <c r="I13" s="57">
        <f t="shared" si="1"/>
        <v>215979</v>
      </c>
      <c r="J13" s="60">
        <f t="shared" si="2"/>
        <v>101.09420013488342</v>
      </c>
      <c r="K13" s="10">
        <f>K14+K15+K16</f>
        <v>20055888</v>
      </c>
      <c r="L13" s="57">
        <f t="shared" si="3"/>
        <v>101381</v>
      </c>
      <c r="M13" s="12">
        <f t="shared" si="4"/>
        <v>100.50806066018067</v>
      </c>
    </row>
    <row r="14" spans="1:13" ht="69.75" customHeight="1" x14ac:dyDescent="0.3">
      <c r="A14" s="7" t="s">
        <v>76</v>
      </c>
      <c r="B14" s="20" t="s">
        <v>75</v>
      </c>
      <c r="C14" s="24">
        <v>11179319.470000001</v>
      </c>
      <c r="D14" s="25">
        <f>12938200-107600</f>
        <v>12830600</v>
      </c>
      <c r="E14" s="4">
        <v>13214600</v>
      </c>
      <c r="F14" s="5">
        <f t="shared" si="5"/>
        <v>384000</v>
      </c>
      <c r="G14" s="25">
        <f t="shared" si="0"/>
        <v>102.99284522937353</v>
      </c>
      <c r="H14" s="4">
        <v>13222800</v>
      </c>
      <c r="I14" s="58">
        <f t="shared" si="1"/>
        <v>8200</v>
      </c>
      <c r="J14" s="61">
        <f t="shared" si="2"/>
        <v>100.06205257820895</v>
      </c>
      <c r="K14" s="4">
        <v>13223200</v>
      </c>
      <c r="L14" s="58">
        <f t="shared" si="3"/>
        <v>400</v>
      </c>
      <c r="M14" s="13">
        <f t="shared" si="4"/>
        <v>100.00302507789576</v>
      </c>
    </row>
    <row r="15" spans="1:13" ht="72" customHeight="1" x14ac:dyDescent="0.3">
      <c r="A15" s="7" t="s">
        <v>74</v>
      </c>
      <c r="B15" s="20" t="s">
        <v>73</v>
      </c>
      <c r="C15" s="24">
        <v>4891019.97</v>
      </c>
      <c r="D15" s="25">
        <f>5052900-800+1199600</f>
        <v>6251700</v>
      </c>
      <c r="E15" s="4">
        <v>6253134</v>
      </c>
      <c r="F15" s="5">
        <f t="shared" si="5"/>
        <v>1434</v>
      </c>
      <c r="G15" s="25">
        <f t="shared" si="0"/>
        <v>100.02293776092903</v>
      </c>
      <c r="H15" s="4">
        <v>6481707</v>
      </c>
      <c r="I15" s="58">
        <f t="shared" si="1"/>
        <v>228573</v>
      </c>
      <c r="J15" s="61">
        <f t="shared" si="2"/>
        <v>103.6553350687831</v>
      </c>
      <c r="K15" s="4">
        <v>6582688</v>
      </c>
      <c r="L15" s="58">
        <f t="shared" si="3"/>
        <v>100981</v>
      </c>
      <c r="M15" s="13">
        <f t="shared" si="4"/>
        <v>101.55793836407601</v>
      </c>
    </row>
    <row r="16" spans="1:13" ht="53.25" customHeight="1" x14ac:dyDescent="0.3">
      <c r="A16" s="6" t="s">
        <v>96</v>
      </c>
      <c r="B16" s="20" t="s">
        <v>92</v>
      </c>
      <c r="C16" s="24">
        <v>217962</v>
      </c>
      <c r="D16" s="25">
        <v>50579</v>
      </c>
      <c r="E16" s="4">
        <v>270794</v>
      </c>
      <c r="F16" s="5">
        <f>E16-D16</f>
        <v>220215</v>
      </c>
      <c r="G16" s="25">
        <v>0</v>
      </c>
      <c r="H16" s="4">
        <v>250000</v>
      </c>
      <c r="I16" s="58">
        <f>H16-E16</f>
        <v>-20794</v>
      </c>
      <c r="J16" s="61">
        <v>0</v>
      </c>
      <c r="K16" s="4">
        <v>250000</v>
      </c>
      <c r="L16" s="58">
        <f>K16-H16</f>
        <v>0</v>
      </c>
      <c r="M16" s="13">
        <v>0</v>
      </c>
    </row>
    <row r="17" spans="1:13" ht="55.5" customHeight="1" x14ac:dyDescent="0.3">
      <c r="A17" s="9" t="s">
        <v>72</v>
      </c>
      <c r="B17" s="19" t="s">
        <v>71</v>
      </c>
      <c r="C17" s="22">
        <f>C18</f>
        <v>5263157.8899999997</v>
      </c>
      <c r="D17" s="23">
        <f>D18</f>
        <v>9902063.8800000008</v>
      </c>
      <c r="E17" s="10">
        <f>E18</f>
        <v>0</v>
      </c>
      <c r="F17" s="11">
        <f t="shared" si="5"/>
        <v>-9902063.8800000008</v>
      </c>
      <c r="G17" s="23">
        <f t="shared" si="0"/>
        <v>0</v>
      </c>
      <c r="H17" s="10">
        <f>H18</f>
        <v>0</v>
      </c>
      <c r="I17" s="57">
        <f t="shared" si="1"/>
        <v>0</v>
      </c>
      <c r="J17" s="60">
        <v>0</v>
      </c>
      <c r="K17" s="10">
        <f>K18</f>
        <v>0</v>
      </c>
      <c r="L17" s="57">
        <f t="shared" si="3"/>
        <v>0</v>
      </c>
      <c r="M17" s="12">
        <v>0</v>
      </c>
    </row>
    <row r="18" spans="1:13" ht="51" customHeight="1" x14ac:dyDescent="0.3">
      <c r="A18" s="7" t="s">
        <v>70</v>
      </c>
      <c r="B18" s="20" t="s">
        <v>69</v>
      </c>
      <c r="C18" s="24">
        <v>5263157.8899999997</v>
      </c>
      <c r="D18" s="25">
        <v>9902063.8800000008</v>
      </c>
      <c r="E18" s="4">
        <v>0</v>
      </c>
      <c r="F18" s="5">
        <f t="shared" si="5"/>
        <v>-9902063.8800000008</v>
      </c>
      <c r="G18" s="25">
        <f>E18/D18*100</f>
        <v>0</v>
      </c>
      <c r="H18" s="4">
        <v>0</v>
      </c>
      <c r="I18" s="58">
        <f t="shared" si="1"/>
        <v>0</v>
      </c>
      <c r="J18" s="61">
        <v>0</v>
      </c>
      <c r="K18" s="4">
        <v>0</v>
      </c>
      <c r="L18" s="58">
        <f t="shared" si="3"/>
        <v>0</v>
      </c>
      <c r="M18" s="13">
        <v>0</v>
      </c>
    </row>
    <row r="19" spans="1:13" ht="54" customHeight="1" x14ac:dyDescent="0.3">
      <c r="A19" s="9" t="s">
        <v>68</v>
      </c>
      <c r="B19" s="19" t="s">
        <v>67</v>
      </c>
      <c r="C19" s="22">
        <f>C20</f>
        <v>28892094.899999999</v>
      </c>
      <c r="D19" s="23">
        <f>D20</f>
        <v>32162036.649999999</v>
      </c>
      <c r="E19" s="10">
        <f>E20</f>
        <v>37623077.689999998</v>
      </c>
      <c r="F19" s="11">
        <f t="shared" si="5"/>
        <v>5461041.0399999991</v>
      </c>
      <c r="G19" s="23">
        <f t="shared" si="0"/>
        <v>116.97977369850425</v>
      </c>
      <c r="H19" s="10">
        <f>H20</f>
        <v>31310181.350000001</v>
      </c>
      <c r="I19" s="57">
        <f t="shared" si="1"/>
        <v>-6312896.3399999961</v>
      </c>
      <c r="J19" s="60">
        <f t="shared" si="2"/>
        <v>83.220680689613204</v>
      </c>
      <c r="K19" s="10">
        <f>K20</f>
        <v>31273269.09</v>
      </c>
      <c r="L19" s="57">
        <f t="shared" si="3"/>
        <v>-36912.260000001639</v>
      </c>
      <c r="M19" s="12">
        <f t="shared" si="4"/>
        <v>99.882107805166072</v>
      </c>
    </row>
    <row r="20" spans="1:13" ht="49.95" customHeight="1" x14ac:dyDescent="0.3">
      <c r="A20" s="7" t="s">
        <v>66</v>
      </c>
      <c r="B20" s="20" t="s">
        <v>65</v>
      </c>
      <c r="C20" s="24">
        <v>28892094.899999999</v>
      </c>
      <c r="D20" s="25">
        <v>32162036.649999999</v>
      </c>
      <c r="E20" s="4">
        <v>37623077.689999998</v>
      </c>
      <c r="F20" s="5">
        <f t="shared" si="5"/>
        <v>5461041.0399999991</v>
      </c>
      <c r="G20" s="25">
        <f t="shared" si="0"/>
        <v>116.97977369850425</v>
      </c>
      <c r="H20" s="4">
        <v>31310181.350000001</v>
      </c>
      <c r="I20" s="58">
        <f t="shared" si="1"/>
        <v>-6312896.3399999961</v>
      </c>
      <c r="J20" s="61">
        <f t="shared" si="2"/>
        <v>83.220680689613204</v>
      </c>
      <c r="K20" s="4">
        <v>31273269.09</v>
      </c>
      <c r="L20" s="58">
        <f t="shared" si="3"/>
        <v>-36912.260000001639</v>
      </c>
      <c r="M20" s="13">
        <f t="shared" si="4"/>
        <v>99.882107805166072</v>
      </c>
    </row>
    <row r="21" spans="1:13" ht="78" customHeight="1" x14ac:dyDescent="0.3">
      <c r="A21" s="9" t="s">
        <v>64</v>
      </c>
      <c r="B21" s="19" t="s">
        <v>63</v>
      </c>
      <c r="C21" s="22">
        <f>C22</f>
        <v>25774348.260000002</v>
      </c>
      <c r="D21" s="23">
        <f>D22</f>
        <v>29034264.170000002</v>
      </c>
      <c r="E21" s="10">
        <f>E22</f>
        <v>31765200.68</v>
      </c>
      <c r="F21" s="11">
        <f t="shared" si="5"/>
        <v>2730936.5099999979</v>
      </c>
      <c r="G21" s="23">
        <f t="shared" si="0"/>
        <v>109.40590914930701</v>
      </c>
      <c r="H21" s="10">
        <f>H22</f>
        <v>31892019.079999998</v>
      </c>
      <c r="I21" s="57">
        <f t="shared" si="1"/>
        <v>126818.39999999851</v>
      </c>
      <c r="J21" s="60">
        <f t="shared" si="2"/>
        <v>100.39923689221281</v>
      </c>
      <c r="K21" s="10">
        <f>K22</f>
        <v>32898656.66</v>
      </c>
      <c r="L21" s="57">
        <f t="shared" si="3"/>
        <v>1006637.5800000019</v>
      </c>
      <c r="M21" s="12">
        <f t="shared" si="4"/>
        <v>103.15639338316865</v>
      </c>
    </row>
    <row r="22" spans="1:13" ht="48" customHeight="1" x14ac:dyDescent="0.3">
      <c r="A22" s="7" t="s">
        <v>62</v>
      </c>
      <c r="B22" s="20" t="s">
        <v>61</v>
      </c>
      <c r="C22" s="24">
        <v>25774348.260000002</v>
      </c>
      <c r="D22" s="25">
        <f>28534264.17+500000</f>
        <v>29034264.170000002</v>
      </c>
      <c r="E22" s="4">
        <f>31017200.68+748000</f>
        <v>31765200.68</v>
      </c>
      <c r="F22" s="5">
        <f t="shared" si="5"/>
        <v>2730936.5099999979</v>
      </c>
      <c r="G22" s="25">
        <f t="shared" si="0"/>
        <v>109.40590914930701</v>
      </c>
      <c r="H22" s="4">
        <v>31892019.079999998</v>
      </c>
      <c r="I22" s="58">
        <f t="shared" si="1"/>
        <v>126818.39999999851</v>
      </c>
      <c r="J22" s="61">
        <f t="shared" si="2"/>
        <v>100.39923689221281</v>
      </c>
      <c r="K22" s="4">
        <v>32898656.66</v>
      </c>
      <c r="L22" s="58">
        <f t="shared" si="3"/>
        <v>1006637.5800000019</v>
      </c>
      <c r="M22" s="13">
        <f t="shared" si="4"/>
        <v>103.15639338316865</v>
      </c>
    </row>
    <row r="23" spans="1:13" ht="74.400000000000006" customHeight="1" x14ac:dyDescent="0.3">
      <c r="A23" s="9" t="s">
        <v>60</v>
      </c>
      <c r="B23" s="19" t="s">
        <v>59</v>
      </c>
      <c r="C23" s="22">
        <f>C24+C25+C26+C27</f>
        <v>78324988.930000007</v>
      </c>
      <c r="D23" s="23">
        <f>D24+D25+D26+D27</f>
        <v>130764204.97</v>
      </c>
      <c r="E23" s="10">
        <f>E24+E25+E26+E27</f>
        <v>104894292.93000001</v>
      </c>
      <c r="F23" s="11">
        <f t="shared" si="5"/>
        <v>-25869912.039999992</v>
      </c>
      <c r="G23" s="23">
        <f t="shared" si="0"/>
        <v>80.21636575090632</v>
      </c>
      <c r="H23" s="10">
        <f>H24+H25+H26+H27</f>
        <v>89085904.079999998</v>
      </c>
      <c r="I23" s="57">
        <f t="shared" si="1"/>
        <v>-15808388.850000009</v>
      </c>
      <c r="J23" s="60">
        <f t="shared" si="2"/>
        <v>84.929219304095454</v>
      </c>
      <c r="K23" s="10">
        <f>K24+K25+K26+K27</f>
        <v>68068188.340000004</v>
      </c>
      <c r="L23" s="57">
        <f t="shared" si="3"/>
        <v>-21017715.739999995</v>
      </c>
      <c r="M23" s="12">
        <f t="shared" si="4"/>
        <v>76.407361010642177</v>
      </c>
    </row>
    <row r="24" spans="1:13" ht="59.25" customHeight="1" x14ac:dyDescent="0.3">
      <c r="A24" s="7" t="s">
        <v>58</v>
      </c>
      <c r="B24" s="20" t="s">
        <v>57</v>
      </c>
      <c r="C24" s="24">
        <v>6007914.0999999996</v>
      </c>
      <c r="D24" s="25">
        <v>4689216.58</v>
      </c>
      <c r="E24" s="4">
        <f>3304309+350000</f>
        <v>3654309</v>
      </c>
      <c r="F24" s="5">
        <f t="shared" si="5"/>
        <v>-1034907.5800000001</v>
      </c>
      <c r="G24" s="25">
        <f t="shared" si="0"/>
        <v>77.93005372338763</v>
      </c>
      <c r="H24" s="4">
        <v>3436481</v>
      </c>
      <c r="I24" s="58">
        <f t="shared" si="1"/>
        <v>-217828</v>
      </c>
      <c r="J24" s="61">
        <f t="shared" si="2"/>
        <v>94.039146662200707</v>
      </c>
      <c r="K24" s="4">
        <v>3573940</v>
      </c>
      <c r="L24" s="58">
        <f t="shared" si="3"/>
        <v>137459</v>
      </c>
      <c r="M24" s="13">
        <f t="shared" si="4"/>
        <v>103.99999301611153</v>
      </c>
    </row>
    <row r="25" spans="1:13" ht="57.6" customHeight="1" x14ac:dyDescent="0.3">
      <c r="A25" s="7" t="s">
        <v>56</v>
      </c>
      <c r="B25" s="20" t="s">
        <v>55</v>
      </c>
      <c r="C25" s="24">
        <v>6760872</v>
      </c>
      <c r="D25" s="25">
        <v>8197482.79</v>
      </c>
      <c r="E25" s="4">
        <f>10443211-801738</f>
        <v>9641473</v>
      </c>
      <c r="F25" s="5">
        <f t="shared" si="5"/>
        <v>1443990.21</v>
      </c>
      <c r="G25" s="25">
        <f t="shared" si="0"/>
        <v>117.61504411770775</v>
      </c>
      <c r="H25" s="4">
        <f>10809403-801738</f>
        <v>10007665</v>
      </c>
      <c r="I25" s="58">
        <f t="shared" si="1"/>
        <v>366192</v>
      </c>
      <c r="J25" s="61">
        <f t="shared" si="2"/>
        <v>103.79809184758386</v>
      </c>
      <c r="K25" s="4">
        <f>11190712-801738</f>
        <v>10388974</v>
      </c>
      <c r="L25" s="58">
        <f t="shared" si="3"/>
        <v>381309</v>
      </c>
      <c r="M25" s="13">
        <f t="shared" si="4"/>
        <v>103.81016950507436</v>
      </c>
    </row>
    <row r="26" spans="1:13" ht="67.5" customHeight="1" x14ac:dyDescent="0.3">
      <c r="A26" s="7" t="s">
        <v>54</v>
      </c>
      <c r="B26" s="20" t="s">
        <v>53</v>
      </c>
      <c r="C26" s="24">
        <v>11362897.77</v>
      </c>
      <c r="D26" s="25">
        <f>98722534.4-28569662.09</f>
        <v>70152872.310000002</v>
      </c>
      <c r="E26" s="4">
        <f>43910860.64+801738</f>
        <v>44712598.640000001</v>
      </c>
      <c r="F26" s="5">
        <f t="shared" si="5"/>
        <v>-25440273.670000002</v>
      </c>
      <c r="G26" s="25">
        <f t="shared" si="0"/>
        <v>63.735948604382955</v>
      </c>
      <c r="H26" s="4">
        <f>22902023.4+801738</f>
        <v>23703761.399999999</v>
      </c>
      <c r="I26" s="58">
        <f t="shared" si="1"/>
        <v>-21008837.240000002</v>
      </c>
      <c r="J26" s="61">
        <f t="shared" si="2"/>
        <v>53.013607173336055</v>
      </c>
      <c r="K26" s="4">
        <f>17529456.4+801738</f>
        <v>18331194.399999999</v>
      </c>
      <c r="L26" s="58">
        <f t="shared" si="3"/>
        <v>-5372567</v>
      </c>
      <c r="M26" s="13">
        <f t="shared" si="4"/>
        <v>77.334538137900765</v>
      </c>
    </row>
    <row r="27" spans="1:13" ht="76.95" customHeight="1" x14ac:dyDescent="0.3">
      <c r="A27" s="7" t="s">
        <v>52</v>
      </c>
      <c r="B27" s="20" t="s">
        <v>51</v>
      </c>
      <c r="C27" s="24">
        <v>54193305.060000002</v>
      </c>
      <c r="D27" s="25">
        <f>47680391.29+44242</f>
        <v>47724633.289999999</v>
      </c>
      <c r="E27" s="4">
        <f>50559372.29-2907774-765686</f>
        <v>46885912.289999999</v>
      </c>
      <c r="F27" s="5">
        <f t="shared" si="5"/>
        <v>-838721</v>
      </c>
      <c r="G27" s="25">
        <f t="shared" si="0"/>
        <v>98.242582619957517</v>
      </c>
      <c r="H27" s="17">
        <f>53673893.64-886710.96-849186</f>
        <v>51937996.68</v>
      </c>
      <c r="I27" s="58">
        <f t="shared" si="1"/>
        <v>5052084.3900000006</v>
      </c>
      <c r="J27" s="61">
        <f t="shared" si="2"/>
        <v>110.77527159704543</v>
      </c>
      <c r="K27" s="17">
        <f>35655459.03+799520.95-680900.04</f>
        <v>35774079.940000005</v>
      </c>
      <c r="L27" s="58">
        <f t="shared" si="3"/>
        <v>-16163916.739999995</v>
      </c>
      <c r="M27" s="13">
        <f t="shared" si="4"/>
        <v>68.878436263937942</v>
      </c>
    </row>
    <row r="28" spans="1:13" ht="94.5" customHeight="1" x14ac:dyDescent="0.3">
      <c r="A28" s="9" t="s">
        <v>50</v>
      </c>
      <c r="B28" s="19" t="s">
        <v>49</v>
      </c>
      <c r="C28" s="22">
        <f>C29+C30+C31</f>
        <v>18016391.149999999</v>
      </c>
      <c r="D28" s="23">
        <f>D29+D30+D31</f>
        <v>19009292.23</v>
      </c>
      <c r="E28" s="10">
        <f>E29+E30+E31</f>
        <v>30257635.18</v>
      </c>
      <c r="F28" s="11">
        <f t="shared" si="5"/>
        <v>11248342.949999999</v>
      </c>
      <c r="G28" s="23">
        <f t="shared" si="0"/>
        <v>159.17286563803853</v>
      </c>
      <c r="H28" s="10">
        <f>H29+H30+H31</f>
        <v>22740785.34</v>
      </c>
      <c r="I28" s="57">
        <f t="shared" si="1"/>
        <v>-7516849.8399999999</v>
      </c>
      <c r="J28" s="60">
        <f t="shared" si="2"/>
        <v>75.157180013299367</v>
      </c>
      <c r="K28" s="10">
        <f>K29+K30+K31</f>
        <v>22844570.050000001</v>
      </c>
      <c r="L28" s="57">
        <f t="shared" si="3"/>
        <v>103784.71000000089</v>
      </c>
      <c r="M28" s="12">
        <f t="shared" si="4"/>
        <v>100.45638138018676</v>
      </c>
    </row>
    <row r="29" spans="1:13" ht="81" customHeight="1" x14ac:dyDescent="0.3">
      <c r="A29" s="7" t="s">
        <v>48</v>
      </c>
      <c r="B29" s="20" t="s">
        <v>47</v>
      </c>
      <c r="C29" s="24">
        <v>17738429.5</v>
      </c>
      <c r="D29" s="25">
        <f>19759292.23-1000000</f>
        <v>18759292.23</v>
      </c>
      <c r="E29" s="4">
        <f>29320035.18+867600-350000</f>
        <v>29837635.18</v>
      </c>
      <c r="F29" s="5">
        <f t="shared" si="5"/>
        <v>11078342.949999999</v>
      </c>
      <c r="G29" s="25">
        <f t="shared" si="0"/>
        <v>159.05522881232923</v>
      </c>
      <c r="H29" s="4">
        <f>21731933.49+588851.85</f>
        <v>22320785.34</v>
      </c>
      <c r="I29" s="58">
        <f t="shared" si="1"/>
        <v>-7516849.8399999999</v>
      </c>
      <c r="J29" s="61">
        <f t="shared" si="2"/>
        <v>74.807487943821698</v>
      </c>
      <c r="K29" s="4">
        <f>21882112.98+542457.07</f>
        <v>22424570.050000001</v>
      </c>
      <c r="L29" s="58">
        <f t="shared" si="3"/>
        <v>103784.71000000089</v>
      </c>
      <c r="M29" s="13">
        <f t="shared" si="4"/>
        <v>100.46496889970091</v>
      </c>
    </row>
    <row r="30" spans="1:13" ht="41.4" customHeight="1" x14ac:dyDescent="0.3">
      <c r="A30" s="7" t="s">
        <v>46</v>
      </c>
      <c r="B30" s="20" t="s">
        <v>45</v>
      </c>
      <c r="C30" s="24">
        <v>1000</v>
      </c>
      <c r="D30" s="25">
        <v>1000</v>
      </c>
      <c r="E30" s="4">
        <v>1000</v>
      </c>
      <c r="F30" s="5">
        <f t="shared" si="5"/>
        <v>0</v>
      </c>
      <c r="G30" s="25">
        <f t="shared" si="0"/>
        <v>100</v>
      </c>
      <c r="H30" s="4">
        <v>1000</v>
      </c>
      <c r="I30" s="58">
        <f t="shared" si="1"/>
        <v>0</v>
      </c>
      <c r="J30" s="61">
        <f t="shared" si="2"/>
        <v>100</v>
      </c>
      <c r="K30" s="4">
        <v>1000</v>
      </c>
      <c r="L30" s="58">
        <f t="shared" si="3"/>
        <v>0</v>
      </c>
      <c r="M30" s="13">
        <f t="shared" si="4"/>
        <v>100</v>
      </c>
    </row>
    <row r="31" spans="1:13" ht="63" customHeight="1" x14ac:dyDescent="0.3">
      <c r="A31" s="7" t="s">
        <v>44</v>
      </c>
      <c r="B31" s="20" t="s">
        <v>43</v>
      </c>
      <c r="C31" s="24">
        <v>276961.65000000002</v>
      </c>
      <c r="D31" s="25">
        <v>249000</v>
      </c>
      <c r="E31" s="4">
        <v>419000</v>
      </c>
      <c r="F31" s="5">
        <f t="shared" si="5"/>
        <v>170000</v>
      </c>
      <c r="G31" s="25">
        <f t="shared" si="0"/>
        <v>168.27309236947792</v>
      </c>
      <c r="H31" s="4">
        <v>419000</v>
      </c>
      <c r="I31" s="58">
        <f t="shared" si="1"/>
        <v>0</v>
      </c>
      <c r="J31" s="61">
        <f t="shared" si="2"/>
        <v>100</v>
      </c>
      <c r="K31" s="4">
        <v>419000</v>
      </c>
      <c r="L31" s="58">
        <f t="shared" si="3"/>
        <v>0</v>
      </c>
      <c r="M31" s="13">
        <f t="shared" si="4"/>
        <v>100</v>
      </c>
    </row>
    <row r="32" spans="1:13" ht="59.25" customHeight="1" x14ac:dyDescent="0.3">
      <c r="A32" s="9" t="s">
        <v>42</v>
      </c>
      <c r="B32" s="19" t="s">
        <v>41</v>
      </c>
      <c r="C32" s="22">
        <f>C33</f>
        <v>2317500</v>
      </c>
      <c r="D32" s="23">
        <f>D33</f>
        <v>2763612.6</v>
      </c>
      <c r="E32" s="10">
        <f>E33</f>
        <v>60000</v>
      </c>
      <c r="F32" s="11">
        <f t="shared" si="5"/>
        <v>-2703612.6</v>
      </c>
      <c r="G32" s="23">
        <f t="shared" si="0"/>
        <v>2.1710712999354542</v>
      </c>
      <c r="H32" s="10">
        <f>H33</f>
        <v>60000</v>
      </c>
      <c r="I32" s="57">
        <f t="shared" si="1"/>
        <v>0</v>
      </c>
      <c r="J32" s="60">
        <f t="shared" si="2"/>
        <v>100</v>
      </c>
      <c r="K32" s="10">
        <f>K33</f>
        <v>60000</v>
      </c>
      <c r="L32" s="57">
        <f t="shared" si="3"/>
        <v>0</v>
      </c>
      <c r="M32" s="12">
        <f t="shared" si="4"/>
        <v>100</v>
      </c>
    </row>
    <row r="33" spans="1:13" ht="39" customHeight="1" x14ac:dyDescent="0.3">
      <c r="A33" s="7" t="s">
        <v>40</v>
      </c>
      <c r="B33" s="20" t="s">
        <v>39</v>
      </c>
      <c r="C33" s="24">
        <v>2317500</v>
      </c>
      <c r="D33" s="25">
        <v>2763612.6</v>
      </c>
      <c r="E33" s="4">
        <v>60000</v>
      </c>
      <c r="F33" s="5">
        <f t="shared" si="5"/>
        <v>-2703612.6</v>
      </c>
      <c r="G33" s="25">
        <f t="shared" si="0"/>
        <v>2.1710712999354542</v>
      </c>
      <c r="H33" s="4">
        <v>60000</v>
      </c>
      <c r="I33" s="58">
        <f t="shared" si="1"/>
        <v>0</v>
      </c>
      <c r="J33" s="61">
        <f t="shared" si="2"/>
        <v>100</v>
      </c>
      <c r="K33" s="4">
        <v>60000</v>
      </c>
      <c r="L33" s="58">
        <f t="shared" si="3"/>
        <v>0</v>
      </c>
      <c r="M33" s="13">
        <f t="shared" si="4"/>
        <v>100</v>
      </c>
    </row>
    <row r="34" spans="1:13" ht="67.5" customHeight="1" x14ac:dyDescent="0.3">
      <c r="A34" s="9" t="s">
        <v>38</v>
      </c>
      <c r="B34" s="19" t="s">
        <v>37</v>
      </c>
      <c r="C34" s="22">
        <f>C35+C36</f>
        <v>21443755.809999999</v>
      </c>
      <c r="D34" s="23">
        <f>D35+D36</f>
        <v>23086623.420000002</v>
      </c>
      <c r="E34" s="10">
        <f>E35+E36</f>
        <v>22796694.789999999</v>
      </c>
      <c r="F34" s="11">
        <f t="shared" si="5"/>
        <v>-289928.63000000268</v>
      </c>
      <c r="G34" s="23">
        <f t="shared" si="0"/>
        <v>98.744170489007772</v>
      </c>
      <c r="H34" s="10">
        <f>H35+H36</f>
        <v>19306968.120000001</v>
      </c>
      <c r="I34" s="57">
        <f t="shared" si="1"/>
        <v>-3489726.6699999981</v>
      </c>
      <c r="J34" s="60">
        <f t="shared" si="2"/>
        <v>84.691962136849767</v>
      </c>
      <c r="K34" s="10">
        <f>K35+K36</f>
        <v>19352324.120000001</v>
      </c>
      <c r="L34" s="57">
        <f t="shared" si="3"/>
        <v>45356</v>
      </c>
      <c r="M34" s="12">
        <f t="shared" si="4"/>
        <v>100.23492036511428</v>
      </c>
    </row>
    <row r="35" spans="1:13" ht="57.75" customHeight="1" x14ac:dyDescent="0.3">
      <c r="A35" s="7" t="s">
        <v>36</v>
      </c>
      <c r="B35" s="20" t="s">
        <v>35</v>
      </c>
      <c r="C35" s="24">
        <v>18213465.809999999</v>
      </c>
      <c r="D35" s="25">
        <v>22106333.420000002</v>
      </c>
      <c r="E35" s="4">
        <v>22316404.789999999</v>
      </c>
      <c r="F35" s="5">
        <f t="shared" si="5"/>
        <v>210071.36999999732</v>
      </c>
      <c r="G35" s="25">
        <f t="shared" si="0"/>
        <v>100.95027685509321</v>
      </c>
      <c r="H35" s="4">
        <v>18826678.120000001</v>
      </c>
      <c r="I35" s="58">
        <f t="shared" si="1"/>
        <v>-3489726.6699999981</v>
      </c>
      <c r="J35" s="61">
        <f t="shared" si="2"/>
        <v>84.362505059221064</v>
      </c>
      <c r="K35" s="4">
        <v>19352324.120000001</v>
      </c>
      <c r="L35" s="58">
        <f t="shared" si="3"/>
        <v>525646</v>
      </c>
      <c r="M35" s="13">
        <f t="shared" si="4"/>
        <v>102.79202733827799</v>
      </c>
    </row>
    <row r="36" spans="1:13" ht="75.75" customHeight="1" x14ac:dyDescent="0.3">
      <c r="A36" s="7" t="s">
        <v>34</v>
      </c>
      <c r="B36" s="20" t="s">
        <v>33</v>
      </c>
      <c r="C36" s="24">
        <v>3230290</v>
      </c>
      <c r="D36" s="25">
        <v>980290</v>
      </c>
      <c r="E36" s="4">
        <v>480290</v>
      </c>
      <c r="F36" s="5">
        <f t="shared" si="5"/>
        <v>-500000</v>
      </c>
      <c r="G36" s="25">
        <f t="shared" si="0"/>
        <v>48.99468524620265</v>
      </c>
      <c r="H36" s="4">
        <v>480290</v>
      </c>
      <c r="I36" s="58">
        <f t="shared" si="1"/>
        <v>0</v>
      </c>
      <c r="J36" s="61">
        <f t="shared" si="2"/>
        <v>100</v>
      </c>
      <c r="K36" s="4">
        <v>0</v>
      </c>
      <c r="L36" s="58">
        <f t="shared" si="3"/>
        <v>-480290</v>
      </c>
      <c r="M36" s="13">
        <f t="shared" si="4"/>
        <v>0</v>
      </c>
    </row>
    <row r="37" spans="1:13" ht="71.400000000000006" customHeight="1" x14ac:dyDescent="0.3">
      <c r="A37" s="9" t="s">
        <v>32</v>
      </c>
      <c r="B37" s="19" t="s">
        <v>31</v>
      </c>
      <c r="C37" s="22">
        <f>C38+C39</f>
        <v>2961589.94</v>
      </c>
      <c r="D37" s="23">
        <f>D38+D39</f>
        <v>5662913.1100000003</v>
      </c>
      <c r="E37" s="10">
        <f>E38+E39</f>
        <v>4872400</v>
      </c>
      <c r="F37" s="11">
        <f t="shared" si="5"/>
        <v>-790513.11000000034</v>
      </c>
      <c r="G37" s="23">
        <f t="shared" si="0"/>
        <v>86.040521995577635</v>
      </c>
      <c r="H37" s="10">
        <f>H38+H39</f>
        <v>5698220</v>
      </c>
      <c r="I37" s="57">
        <f t="shared" si="1"/>
        <v>825820</v>
      </c>
      <c r="J37" s="60">
        <f t="shared" si="2"/>
        <v>116.94893686889418</v>
      </c>
      <c r="K37" s="10">
        <f>K38+K39</f>
        <v>5994656.5599999996</v>
      </c>
      <c r="L37" s="57">
        <f t="shared" si="3"/>
        <v>296436.55999999959</v>
      </c>
      <c r="M37" s="12">
        <f t="shared" si="4"/>
        <v>105.20226597077684</v>
      </c>
    </row>
    <row r="38" spans="1:13" ht="58.95" customHeight="1" x14ac:dyDescent="0.3">
      <c r="A38" s="7" t="s">
        <v>30</v>
      </c>
      <c r="B38" s="20" t="s">
        <v>29</v>
      </c>
      <c r="C38" s="24">
        <v>2961589.94</v>
      </c>
      <c r="D38" s="25">
        <f>5069347+593566.11</f>
        <v>5662913.1100000003</v>
      </c>
      <c r="E38" s="4">
        <v>4872400</v>
      </c>
      <c r="F38" s="5">
        <f t="shared" si="5"/>
        <v>-790513.11000000034</v>
      </c>
      <c r="G38" s="25">
        <f t="shared" si="0"/>
        <v>86.040521995577635</v>
      </c>
      <c r="H38" s="4">
        <v>5698220</v>
      </c>
      <c r="I38" s="58">
        <f t="shared" si="1"/>
        <v>825820</v>
      </c>
      <c r="J38" s="61">
        <f t="shared" si="2"/>
        <v>116.94893686889418</v>
      </c>
      <c r="K38" s="4">
        <v>5994656.5599999996</v>
      </c>
      <c r="L38" s="58">
        <f t="shared" si="3"/>
        <v>296436.55999999959</v>
      </c>
      <c r="M38" s="13">
        <f t="shared" si="4"/>
        <v>105.20226597077684</v>
      </c>
    </row>
    <row r="39" spans="1:13" ht="57.6" customHeight="1" x14ac:dyDescent="0.3">
      <c r="A39" s="7" t="s">
        <v>113</v>
      </c>
      <c r="B39" s="20" t="s">
        <v>114</v>
      </c>
      <c r="C39" s="24">
        <v>0</v>
      </c>
      <c r="D39" s="25">
        <f>11871322.27-11871322.27</f>
        <v>0</v>
      </c>
      <c r="E39" s="4">
        <v>0</v>
      </c>
      <c r="F39" s="5">
        <f t="shared" si="5"/>
        <v>0</v>
      </c>
      <c r="G39" s="25">
        <v>0</v>
      </c>
      <c r="H39" s="4">
        <v>0</v>
      </c>
      <c r="I39" s="58">
        <f t="shared" si="1"/>
        <v>0</v>
      </c>
      <c r="J39" s="61">
        <v>0</v>
      </c>
      <c r="K39" s="4">
        <v>0</v>
      </c>
      <c r="L39" s="58">
        <f t="shared" si="3"/>
        <v>0</v>
      </c>
      <c r="M39" s="13">
        <v>0</v>
      </c>
    </row>
    <row r="40" spans="1:13" ht="57.6" customHeight="1" x14ac:dyDescent="0.3">
      <c r="A40" s="9" t="s">
        <v>28</v>
      </c>
      <c r="B40" s="19" t="s">
        <v>27</v>
      </c>
      <c r="C40" s="22">
        <f>C41+C42</f>
        <v>6035</v>
      </c>
      <c r="D40" s="23">
        <f>D41+D42</f>
        <v>9022</v>
      </c>
      <c r="E40" s="10">
        <f>E41+E42</f>
        <v>52100</v>
      </c>
      <c r="F40" s="11">
        <f>F41+F42</f>
        <v>43078</v>
      </c>
      <c r="G40" s="23">
        <f t="shared" si="0"/>
        <v>577.47727776546219</v>
      </c>
      <c r="H40" s="10">
        <f>H41+H42</f>
        <v>52168</v>
      </c>
      <c r="I40" s="57">
        <f t="shared" si="1"/>
        <v>68</v>
      </c>
      <c r="J40" s="60">
        <f t="shared" si="2"/>
        <v>100.13051823416508</v>
      </c>
      <c r="K40" s="10">
        <f>K41+K42</f>
        <v>52249</v>
      </c>
      <c r="L40" s="57">
        <f t="shared" si="3"/>
        <v>81</v>
      </c>
      <c r="M40" s="12">
        <f t="shared" si="4"/>
        <v>100.15526759699434</v>
      </c>
    </row>
    <row r="41" spans="1:13" ht="58.5" customHeight="1" x14ac:dyDescent="0.3">
      <c r="A41" s="7" t="s">
        <v>26</v>
      </c>
      <c r="B41" s="20" t="s">
        <v>25</v>
      </c>
      <c r="C41" s="24">
        <v>3535</v>
      </c>
      <c r="D41" s="25">
        <v>4022</v>
      </c>
      <c r="E41" s="4">
        <v>47100</v>
      </c>
      <c r="F41" s="5">
        <f t="shared" si="5"/>
        <v>43078</v>
      </c>
      <c r="G41" s="25">
        <f t="shared" si="0"/>
        <v>1171.05917454003</v>
      </c>
      <c r="H41" s="4">
        <v>47168</v>
      </c>
      <c r="I41" s="58">
        <f t="shared" si="1"/>
        <v>68</v>
      </c>
      <c r="J41" s="61">
        <f t="shared" si="2"/>
        <v>100.1443736730361</v>
      </c>
      <c r="K41" s="4">
        <v>47249</v>
      </c>
      <c r="L41" s="58">
        <f t="shared" si="3"/>
        <v>81</v>
      </c>
      <c r="M41" s="13">
        <f t="shared" si="4"/>
        <v>100.17172659430122</v>
      </c>
    </row>
    <row r="42" spans="1:13" ht="51.75" customHeight="1" x14ac:dyDescent="0.3">
      <c r="A42" s="14" t="s">
        <v>97</v>
      </c>
      <c r="B42" s="20" t="s">
        <v>98</v>
      </c>
      <c r="C42" s="24">
        <v>2500</v>
      </c>
      <c r="D42" s="25">
        <v>5000</v>
      </c>
      <c r="E42" s="4">
        <v>5000</v>
      </c>
      <c r="F42" s="5">
        <f>E42-D42</f>
        <v>0</v>
      </c>
      <c r="G42" s="25">
        <f>E42/D42*100</f>
        <v>100</v>
      </c>
      <c r="H42" s="4">
        <v>5000</v>
      </c>
      <c r="I42" s="58">
        <f>H42-E42</f>
        <v>0</v>
      </c>
      <c r="J42" s="61">
        <f>H42/E42*100</f>
        <v>100</v>
      </c>
      <c r="K42" s="4">
        <v>5000</v>
      </c>
      <c r="L42" s="58">
        <f>K42-H42</f>
        <v>0</v>
      </c>
      <c r="M42" s="13">
        <f>K42/H42*100</f>
        <v>100</v>
      </c>
    </row>
    <row r="43" spans="1:13" ht="67.2" customHeight="1" x14ac:dyDescent="0.3">
      <c r="A43" s="9" t="s">
        <v>24</v>
      </c>
      <c r="B43" s="19" t="s">
        <v>23</v>
      </c>
      <c r="C43" s="22">
        <f>C44+C45</f>
        <v>11974421.779999999</v>
      </c>
      <c r="D43" s="23">
        <f>D44+D45</f>
        <v>12704241.170000002</v>
      </c>
      <c r="E43" s="10">
        <f>E44+E45</f>
        <v>11972960.17</v>
      </c>
      <c r="F43" s="11">
        <f t="shared" si="5"/>
        <v>-731281.00000000186</v>
      </c>
      <c r="G43" s="23">
        <f t="shared" si="0"/>
        <v>94.243804173626202</v>
      </c>
      <c r="H43" s="10">
        <f>H44+H45</f>
        <v>11600406.43</v>
      </c>
      <c r="I43" s="57">
        <f t="shared" si="1"/>
        <v>-372553.74000000022</v>
      </c>
      <c r="J43" s="60">
        <f t="shared" si="2"/>
        <v>96.88837401352518</v>
      </c>
      <c r="K43" s="10">
        <f>K44+K45</f>
        <v>11660548.899999999</v>
      </c>
      <c r="L43" s="57">
        <f t="shared" si="3"/>
        <v>60142.469999998808</v>
      </c>
      <c r="M43" s="12">
        <f t="shared" si="4"/>
        <v>100.51845140394791</v>
      </c>
    </row>
    <row r="44" spans="1:13" ht="42" customHeight="1" x14ac:dyDescent="0.3">
      <c r="A44" s="7" t="s">
        <v>22</v>
      </c>
      <c r="B44" s="20" t="s">
        <v>21</v>
      </c>
      <c r="C44" s="24">
        <v>5351044.8899999997</v>
      </c>
      <c r="D44" s="25">
        <v>5541932.9400000004</v>
      </c>
      <c r="E44" s="4">
        <v>5597463.2999999998</v>
      </c>
      <c r="F44" s="5">
        <f t="shared" si="5"/>
        <v>55530.359999999404</v>
      </c>
      <c r="G44" s="25">
        <f t="shared" si="0"/>
        <v>101.00200346343418</v>
      </c>
      <c r="H44" s="4">
        <v>5676396.6299999999</v>
      </c>
      <c r="I44" s="58">
        <f t="shared" si="1"/>
        <v>78933.330000000075</v>
      </c>
      <c r="J44" s="61">
        <f t="shared" si="2"/>
        <v>101.41016252844391</v>
      </c>
      <c r="K44" s="4">
        <v>5699550.5199999996</v>
      </c>
      <c r="L44" s="58">
        <f t="shared" si="3"/>
        <v>23153.889999999665</v>
      </c>
      <c r="M44" s="13">
        <f t="shared" si="4"/>
        <v>100.40789767715721</v>
      </c>
    </row>
    <row r="45" spans="1:13" ht="94.2" customHeight="1" x14ac:dyDescent="0.3">
      <c r="A45" s="7" t="s">
        <v>20</v>
      </c>
      <c r="B45" s="20" t="s">
        <v>19</v>
      </c>
      <c r="C45" s="24">
        <v>6623376.8899999997</v>
      </c>
      <c r="D45" s="25">
        <v>7162308.2300000004</v>
      </c>
      <c r="E45" s="4">
        <f>7375496.87-1000000</f>
        <v>6375496.8700000001</v>
      </c>
      <c r="F45" s="5">
        <f t="shared" si="5"/>
        <v>-786811.36000000034</v>
      </c>
      <c r="G45" s="25">
        <f t="shared" si="0"/>
        <v>89.014555996007445</v>
      </c>
      <c r="H45" s="4">
        <v>5924009.7999999998</v>
      </c>
      <c r="I45" s="58">
        <f t="shared" si="1"/>
        <v>-451487.0700000003</v>
      </c>
      <c r="J45" s="61">
        <f t="shared" si="2"/>
        <v>92.918401824891802</v>
      </c>
      <c r="K45" s="4">
        <v>5960998.3799999999</v>
      </c>
      <c r="L45" s="58">
        <f t="shared" si="3"/>
        <v>36988.580000000075</v>
      </c>
      <c r="M45" s="13">
        <f t="shared" si="4"/>
        <v>100.62438417978311</v>
      </c>
    </row>
    <row r="46" spans="1:13" ht="57" customHeight="1" x14ac:dyDescent="0.3">
      <c r="A46" s="9" t="s">
        <v>18</v>
      </c>
      <c r="B46" s="19" t="s">
        <v>17</v>
      </c>
      <c r="C46" s="22">
        <f>C47+C48</f>
        <v>8211942.0999999996</v>
      </c>
      <c r="D46" s="23">
        <f>D47+D48</f>
        <v>8577472.870000001</v>
      </c>
      <c r="E46" s="10">
        <f>E47+E48</f>
        <v>8956544.1699999999</v>
      </c>
      <c r="F46" s="11">
        <f t="shared" si="5"/>
        <v>379071.29999999888</v>
      </c>
      <c r="G46" s="23">
        <f t="shared" si="0"/>
        <v>104.41938209243207</v>
      </c>
      <c r="H46" s="10">
        <f>H47+H48</f>
        <v>8841770.9499999993</v>
      </c>
      <c r="I46" s="57">
        <f t="shared" si="1"/>
        <v>-114773.22000000067</v>
      </c>
      <c r="J46" s="60">
        <f t="shared" si="2"/>
        <v>98.71855463645862</v>
      </c>
      <c r="K46" s="10">
        <f>K47+K48</f>
        <v>9188952.6599999983</v>
      </c>
      <c r="L46" s="57">
        <f t="shared" si="3"/>
        <v>347181.70999999903</v>
      </c>
      <c r="M46" s="12">
        <f t="shared" si="4"/>
        <v>103.92660827749671</v>
      </c>
    </row>
    <row r="47" spans="1:13" ht="50.25" customHeight="1" x14ac:dyDescent="0.3">
      <c r="A47" s="7" t="s">
        <v>16</v>
      </c>
      <c r="B47" s="20" t="s">
        <v>15</v>
      </c>
      <c r="C47" s="24">
        <v>476260</v>
      </c>
      <c r="D47" s="25">
        <v>751648.64</v>
      </c>
      <c r="E47" s="4">
        <f>867600-867600</f>
        <v>0</v>
      </c>
      <c r="F47" s="5">
        <f t="shared" si="5"/>
        <v>-751648.64</v>
      </c>
      <c r="G47" s="25">
        <f t="shared" si="0"/>
        <v>0</v>
      </c>
      <c r="H47" s="4">
        <f>588851.85-588851.85</f>
        <v>0</v>
      </c>
      <c r="I47" s="58">
        <f t="shared" si="1"/>
        <v>0</v>
      </c>
      <c r="J47" s="61">
        <v>0</v>
      </c>
      <c r="K47" s="4">
        <f>867600-542457.07</f>
        <v>325142.93000000005</v>
      </c>
      <c r="L47" s="58">
        <f t="shared" si="3"/>
        <v>325142.93000000005</v>
      </c>
      <c r="M47" s="13">
        <v>0</v>
      </c>
    </row>
    <row r="48" spans="1:13" ht="48" customHeight="1" x14ac:dyDescent="0.3">
      <c r="A48" s="7" t="s">
        <v>14</v>
      </c>
      <c r="B48" s="20" t="s">
        <v>13</v>
      </c>
      <c r="C48" s="24">
        <v>7735682.0999999996</v>
      </c>
      <c r="D48" s="25">
        <v>7825824.2300000004</v>
      </c>
      <c r="E48" s="4">
        <f>7887904.38+552953.79+515686</f>
        <v>8956544.1699999999</v>
      </c>
      <c r="F48" s="5">
        <f t="shared" si="5"/>
        <v>1130719.9399999995</v>
      </c>
      <c r="G48" s="25">
        <f t="shared" si="0"/>
        <v>114.4485731696532</v>
      </c>
      <c r="H48" s="4">
        <f>8172781.03+69803.92+599186</f>
        <v>8841770.9499999993</v>
      </c>
      <c r="I48" s="58">
        <f t="shared" si="1"/>
        <v>-114773.22000000067</v>
      </c>
      <c r="J48" s="61">
        <f t="shared" si="2"/>
        <v>98.71855463645862</v>
      </c>
      <c r="K48" s="4">
        <f>8432909.69+430900.04</f>
        <v>8863809.7299999986</v>
      </c>
      <c r="L48" s="58">
        <f t="shared" si="3"/>
        <v>22038.779999999329</v>
      </c>
      <c r="M48" s="13">
        <f t="shared" si="4"/>
        <v>100.24925753137724</v>
      </c>
    </row>
    <row r="49" spans="1:13" ht="43.5" customHeight="1" x14ac:dyDescent="0.3">
      <c r="A49" s="9" t="s">
        <v>12</v>
      </c>
      <c r="B49" s="19" t="s">
        <v>11</v>
      </c>
      <c r="C49" s="22">
        <f>C50+C51+C52+C53</f>
        <v>54363194.630000003</v>
      </c>
      <c r="D49" s="23">
        <f>D50+D51+D52+D53</f>
        <v>56587030.369999997</v>
      </c>
      <c r="E49" s="10">
        <f>E50+E51+E52+E53</f>
        <v>61090625.230000004</v>
      </c>
      <c r="F49" s="11">
        <f t="shared" si="5"/>
        <v>4503594.8600000069</v>
      </c>
      <c r="G49" s="23">
        <f t="shared" si="0"/>
        <v>107.95870507880127</v>
      </c>
      <c r="H49" s="10">
        <f>H50+H51+H52+H53</f>
        <v>60494103.170000002</v>
      </c>
      <c r="I49" s="57">
        <f t="shared" si="1"/>
        <v>-596522.06000000238</v>
      </c>
      <c r="J49" s="60">
        <f t="shared" si="2"/>
        <v>99.023545662277712</v>
      </c>
      <c r="K49" s="10">
        <f>K50+K51+K52+K53</f>
        <v>60710443.479999997</v>
      </c>
      <c r="L49" s="57">
        <f t="shared" si="3"/>
        <v>216340.30999999493</v>
      </c>
      <c r="M49" s="12">
        <f t="shared" si="4"/>
        <v>100.35762214606609</v>
      </c>
    </row>
    <row r="50" spans="1:13" ht="56.4" customHeight="1" x14ac:dyDescent="0.3">
      <c r="A50" s="7" t="s">
        <v>10</v>
      </c>
      <c r="B50" s="20" t="s">
        <v>9</v>
      </c>
      <c r="C50" s="24">
        <v>100161.32</v>
      </c>
      <c r="D50" s="25">
        <v>650000</v>
      </c>
      <c r="E50" s="4">
        <v>500000</v>
      </c>
      <c r="F50" s="5">
        <f t="shared" si="5"/>
        <v>-150000</v>
      </c>
      <c r="G50" s="25">
        <f t="shared" si="0"/>
        <v>76.923076923076934</v>
      </c>
      <c r="H50" s="4">
        <v>350000</v>
      </c>
      <c r="I50" s="58">
        <f t="shared" si="1"/>
        <v>-150000</v>
      </c>
      <c r="J50" s="61">
        <f t="shared" si="2"/>
        <v>70</v>
      </c>
      <c r="K50" s="4">
        <v>350000</v>
      </c>
      <c r="L50" s="58">
        <f t="shared" si="3"/>
        <v>0</v>
      </c>
      <c r="M50" s="13">
        <f t="shared" si="4"/>
        <v>100</v>
      </c>
    </row>
    <row r="51" spans="1:13" ht="55.95" customHeight="1" x14ac:dyDescent="0.3">
      <c r="A51" s="7" t="s">
        <v>8</v>
      </c>
      <c r="B51" s="20" t="s">
        <v>7</v>
      </c>
      <c r="C51" s="24">
        <v>281616.15000000002</v>
      </c>
      <c r="D51" s="25">
        <v>730686</v>
      </c>
      <c r="E51" s="4">
        <v>765686</v>
      </c>
      <c r="F51" s="5">
        <f t="shared" si="5"/>
        <v>35000</v>
      </c>
      <c r="G51" s="25">
        <f t="shared" si="0"/>
        <v>104.79001924219158</v>
      </c>
      <c r="H51" s="4">
        <v>849186</v>
      </c>
      <c r="I51" s="58">
        <f t="shared" si="1"/>
        <v>83500</v>
      </c>
      <c r="J51" s="61">
        <f t="shared" si="2"/>
        <v>110.90525358959155</v>
      </c>
      <c r="K51" s="4">
        <v>849186</v>
      </c>
      <c r="L51" s="58">
        <f t="shared" si="3"/>
        <v>0</v>
      </c>
      <c r="M51" s="13">
        <f t="shared" si="4"/>
        <v>100</v>
      </c>
    </row>
    <row r="52" spans="1:13" ht="85.2" customHeight="1" x14ac:dyDescent="0.3">
      <c r="A52" s="7" t="s">
        <v>6</v>
      </c>
      <c r="B52" s="20" t="s">
        <v>5</v>
      </c>
      <c r="C52" s="24">
        <v>37728020.130000003</v>
      </c>
      <c r="D52" s="25">
        <v>39664732.869999997</v>
      </c>
      <c r="E52" s="4">
        <f>40236458.57+3205710.66</f>
        <v>43442169.230000004</v>
      </c>
      <c r="F52" s="5">
        <f t="shared" si="5"/>
        <v>3777436.3600000069</v>
      </c>
      <c r="G52" s="25">
        <f t="shared" si="0"/>
        <v>109.5234130843146</v>
      </c>
      <c r="H52" s="4">
        <f>41918539.27+973427.9</f>
        <v>42891967.170000002</v>
      </c>
      <c r="I52" s="58">
        <f t="shared" si="1"/>
        <v>-550202.06000000238</v>
      </c>
      <c r="J52" s="61">
        <f t="shared" si="2"/>
        <v>98.73348391723485</v>
      </c>
      <c r="K52" s="4">
        <f>43410313.26-308125.78</f>
        <v>43102187.479999997</v>
      </c>
      <c r="L52" s="58">
        <f t="shared" si="3"/>
        <v>210220.30999999493</v>
      </c>
      <c r="M52" s="13">
        <f t="shared" si="4"/>
        <v>100.49011580459064</v>
      </c>
    </row>
    <row r="53" spans="1:13" s="2" customFormat="1" ht="42" customHeight="1" x14ac:dyDescent="0.25">
      <c r="A53" s="7" t="s">
        <v>4</v>
      </c>
      <c r="B53" s="20" t="s">
        <v>3</v>
      </c>
      <c r="C53" s="24">
        <v>16253397.029999999</v>
      </c>
      <c r="D53" s="25">
        <v>15541611.5</v>
      </c>
      <c r="E53" s="4">
        <v>16382770</v>
      </c>
      <c r="F53" s="5">
        <f t="shared" si="5"/>
        <v>841158.5</v>
      </c>
      <c r="G53" s="25">
        <f t="shared" si="0"/>
        <v>105.41229910424667</v>
      </c>
      <c r="H53" s="4">
        <v>16402950</v>
      </c>
      <c r="I53" s="58">
        <f t="shared" si="1"/>
        <v>20180</v>
      </c>
      <c r="J53" s="61">
        <f t="shared" si="2"/>
        <v>100.1231781926988</v>
      </c>
      <c r="K53" s="4">
        <v>16409070</v>
      </c>
      <c r="L53" s="58">
        <f t="shared" si="3"/>
        <v>6120</v>
      </c>
      <c r="M53" s="13">
        <f t="shared" si="4"/>
        <v>100.03731036185563</v>
      </c>
    </row>
    <row r="54" spans="1:13" ht="30" customHeight="1" x14ac:dyDescent="0.3">
      <c r="A54" s="9" t="s">
        <v>109</v>
      </c>
      <c r="B54" s="19" t="s">
        <v>100</v>
      </c>
      <c r="C54" s="22">
        <f>C55+C57+C56</f>
        <v>7962285.6699999999</v>
      </c>
      <c r="D54" s="23">
        <f>D55+D57+D56</f>
        <v>6981826.1699999999</v>
      </c>
      <c r="E54" s="10">
        <f>E55+E57+E56</f>
        <v>8204540.0999999996</v>
      </c>
      <c r="F54" s="11">
        <f t="shared" si="5"/>
        <v>1222713.9299999997</v>
      </c>
      <c r="G54" s="23">
        <f>E54/D54*100</f>
        <v>117.51280968944546</v>
      </c>
      <c r="H54" s="10">
        <f>H55+H57+H56</f>
        <v>8235813.3200000003</v>
      </c>
      <c r="I54" s="57">
        <f t="shared" si="1"/>
        <v>31273.220000000671</v>
      </c>
      <c r="J54" s="60">
        <f t="shared" si="2"/>
        <v>100.3811696892066</v>
      </c>
      <c r="K54" s="10">
        <f>K55+K57+K56</f>
        <v>8213774.54</v>
      </c>
      <c r="L54" s="57">
        <f t="shared" si="3"/>
        <v>-22038.780000000261</v>
      </c>
      <c r="M54" s="12">
        <f t="shared" si="4"/>
        <v>99.732403113770431</v>
      </c>
    </row>
    <row r="55" spans="1:13" ht="30" customHeight="1" x14ac:dyDescent="0.3">
      <c r="A55" s="7" t="s">
        <v>2</v>
      </c>
      <c r="B55" s="20" t="s">
        <v>1</v>
      </c>
      <c r="C55" s="24">
        <v>6661755.2599999998</v>
      </c>
      <c r="D55" s="25">
        <v>6981826.1699999999</v>
      </c>
      <c r="E55" s="4">
        <f>4582939.22+149109.55-82500</f>
        <v>4649548.7699999996</v>
      </c>
      <c r="F55" s="5">
        <f t="shared" si="5"/>
        <v>-2332277.4000000004</v>
      </c>
      <c r="G55" s="25">
        <f>E55/D55*100</f>
        <v>66.595023376240832</v>
      </c>
      <c r="H55" s="4">
        <f>4790886.73-27564.74-82500</f>
        <v>4680821.99</v>
      </c>
      <c r="I55" s="59">
        <f t="shared" si="1"/>
        <v>31273.220000000671</v>
      </c>
      <c r="J55" s="62">
        <f t="shared" si="2"/>
        <v>100.67260763456841</v>
      </c>
      <c r="K55" s="4">
        <f>4969606.27-228323.06-82500</f>
        <v>4658783.21</v>
      </c>
      <c r="L55" s="59">
        <f t="shared" si="3"/>
        <v>-22038.780000000261</v>
      </c>
      <c r="M55" s="18">
        <f t="shared" si="4"/>
        <v>99.529168593740948</v>
      </c>
    </row>
    <row r="56" spans="1:13" ht="30" customHeight="1" x14ac:dyDescent="0.3">
      <c r="A56" s="7" t="s">
        <v>110</v>
      </c>
      <c r="B56" s="20" t="s">
        <v>111</v>
      </c>
      <c r="C56" s="24">
        <v>0</v>
      </c>
      <c r="D56" s="25">
        <v>0</v>
      </c>
      <c r="E56" s="4">
        <f>3222491.33+250000+82500</f>
        <v>3554991.33</v>
      </c>
      <c r="F56" s="5">
        <f t="shared" si="5"/>
        <v>3554991.33</v>
      </c>
      <c r="G56" s="25">
        <v>0</v>
      </c>
      <c r="H56" s="4">
        <f>3351447.45-128956.12+250000+82500</f>
        <v>3554991.33</v>
      </c>
      <c r="I56" s="59">
        <f t="shared" si="1"/>
        <v>0</v>
      </c>
      <c r="J56" s="62">
        <f t="shared" si="2"/>
        <v>100</v>
      </c>
      <c r="K56" s="4">
        <f>3485563.44-263072.11+250000+82500</f>
        <v>3554991.33</v>
      </c>
      <c r="L56" s="59">
        <f t="shared" si="3"/>
        <v>0</v>
      </c>
      <c r="M56" s="18">
        <f t="shared" si="4"/>
        <v>100</v>
      </c>
    </row>
    <row r="57" spans="1:13" ht="30" customHeight="1" x14ac:dyDescent="0.3">
      <c r="A57" s="7" t="s">
        <v>112</v>
      </c>
      <c r="B57" s="20" t="s">
        <v>101</v>
      </c>
      <c r="C57" s="24">
        <v>1300530.4099999999</v>
      </c>
      <c r="D57" s="25">
        <v>0</v>
      </c>
      <c r="E57" s="4">
        <v>0</v>
      </c>
      <c r="F57" s="5">
        <f t="shared" si="5"/>
        <v>0</v>
      </c>
      <c r="G57" s="25">
        <v>0</v>
      </c>
      <c r="H57" s="4">
        <v>0</v>
      </c>
      <c r="I57" s="59">
        <f t="shared" si="1"/>
        <v>0</v>
      </c>
      <c r="J57" s="62">
        <v>0</v>
      </c>
      <c r="K57" s="4">
        <v>0</v>
      </c>
      <c r="L57" s="59">
        <f t="shared" si="3"/>
        <v>0</v>
      </c>
      <c r="M57" s="18">
        <v>0</v>
      </c>
    </row>
    <row r="58" spans="1:13" ht="30" customHeight="1" thickBot="1" x14ac:dyDescent="0.35">
      <c r="A58" s="15" t="s">
        <v>0</v>
      </c>
      <c r="B58" s="21"/>
      <c r="C58" s="26">
        <f>C54+C49+C46+C43+C40+C37+C34+C32+C28+C23+C21+C19+C17+C13+C9</f>
        <v>510824967.61000001</v>
      </c>
      <c r="D58" s="27">
        <f>D54+D49+D46+D43+D40+D37+D34+D32+D28+D23+D21+D19+D17+D13+D9</f>
        <v>625074552.30999994</v>
      </c>
      <c r="E58" s="50">
        <f>E54+E49+E46+E43+E40+E37+E34+E32+E28+E23+E21+E19+E17+E13+E9</f>
        <v>618864388.11000001</v>
      </c>
      <c r="F58" s="51">
        <f>F54+F49+F46+F43+F40+F37+F34+F32+F28+F23+F21+F19+F17+F13+F9</f>
        <v>-6210164.1999999676</v>
      </c>
      <c r="G58" s="56">
        <f>E58/D58*100</f>
        <v>99.006492237277953</v>
      </c>
      <c r="H58" s="50">
        <f>H54+H49+H46+H43+H40+H37+H34+H32+H28+H23+H21+H19+H17+H13+H9</f>
        <v>574597478.26999998</v>
      </c>
      <c r="I58" s="51">
        <f>I54+I49+I46+I43+I40+I37+I34+I32+I28+I23+I21+I19+I17+I13+I9</f>
        <v>-44266909.840000018</v>
      </c>
      <c r="J58" s="27">
        <f t="shared" si="2"/>
        <v>92.847074304082938</v>
      </c>
      <c r="K58" s="50">
        <f>K54+K49+K46+K43+K40+K37+K34+K32+K28+K23+K21+K19+K17+K13+K9</f>
        <v>555487005.77999997</v>
      </c>
      <c r="L58" s="51">
        <f>L54+L49+L46+L43+L40+L37+L34+L32+L28+L23+L21+L19+L17+L13+L9</f>
        <v>-19110472.490000013</v>
      </c>
      <c r="M58" s="16">
        <f t="shared" si="4"/>
        <v>96.674111319190274</v>
      </c>
    </row>
    <row r="59" spans="1:13" ht="30" customHeight="1" x14ac:dyDescent="0.3">
      <c r="I59" s="1"/>
      <c r="L59" s="1"/>
    </row>
    <row r="60" spans="1:13" ht="30" customHeight="1" x14ac:dyDescent="0.3">
      <c r="I60" s="1"/>
      <c r="L60" s="1"/>
    </row>
    <row r="61" spans="1:13" ht="30" customHeight="1" x14ac:dyDescent="0.3">
      <c r="I61" s="1"/>
      <c r="L61" s="1"/>
    </row>
    <row r="62" spans="1:13" ht="30" customHeight="1" x14ac:dyDescent="0.3">
      <c r="I62" s="1"/>
      <c r="L62" s="1"/>
    </row>
    <row r="63" spans="1:13" ht="30" customHeight="1" x14ac:dyDescent="0.3">
      <c r="I63" s="1"/>
      <c r="L63" s="1"/>
    </row>
    <row r="64" spans="1:13" ht="30" customHeight="1" x14ac:dyDescent="0.3">
      <c r="I64" s="1"/>
      <c r="L64" s="1"/>
    </row>
    <row r="65" spans="9:12" ht="30" customHeight="1" x14ac:dyDescent="0.3">
      <c r="I65" s="1"/>
      <c r="L65" s="1"/>
    </row>
    <row r="66" spans="9:12" ht="30" customHeight="1" x14ac:dyDescent="0.3">
      <c r="I66" s="1"/>
      <c r="L66" s="1"/>
    </row>
    <row r="67" spans="9:12" ht="30" customHeight="1" x14ac:dyDescent="0.3">
      <c r="I67" s="1"/>
      <c r="L67" s="1"/>
    </row>
    <row r="68" spans="9:12" ht="30" customHeight="1" x14ac:dyDescent="0.3">
      <c r="I68" s="1"/>
      <c r="L68" s="1"/>
    </row>
  </sheetData>
  <mergeCells count="19">
    <mergeCell ref="I7:I8"/>
    <mergeCell ref="J7:J8"/>
    <mergeCell ref="K7:K8"/>
    <mergeCell ref="L7:L8"/>
    <mergeCell ref="M7:M8"/>
    <mergeCell ref="H5:J6"/>
    <mergeCell ref="J1:M1"/>
    <mergeCell ref="J2:M2"/>
    <mergeCell ref="A3:M3"/>
    <mergeCell ref="A5:A8"/>
    <mergeCell ref="B5:B8"/>
    <mergeCell ref="C5:C8"/>
    <mergeCell ref="D5:D8"/>
    <mergeCell ref="E5:G6"/>
    <mergeCell ref="K5:M6"/>
    <mergeCell ref="E7:E8"/>
    <mergeCell ref="F7:F8"/>
    <mergeCell ref="G7:G8"/>
    <mergeCell ref="H7:H8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мун.прогр.2020-2024 Прил.2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2019-11-18T09:10:27Z</cp:lastPrinted>
  <dcterms:created xsi:type="dcterms:W3CDTF">2018-11-24T22:31:30Z</dcterms:created>
  <dcterms:modified xsi:type="dcterms:W3CDTF">2021-12-14T15:14:35Z</dcterms:modified>
</cp:coreProperties>
</file>