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ЭтаКнига" defaultThemeVersion="124226"/>
  <bookViews>
    <workbookView xWindow="0" yWindow="0" windowWidth="23250" windowHeight="11835"/>
  </bookViews>
  <sheets>
    <sheet name="ВСЕГО по РО" sheetId="13" r:id="rId1"/>
    <sheet name="ИТОГО по РО" sheetId="8" state="hidden" r:id="rId2"/>
    <sheet name="Модернизация" sheetId="19" r:id="rId3"/>
    <sheet name="мм" sheetId="11" state="hidden" r:id="rId4"/>
    <sheet name="Молодежная политика" sheetId="20" r:id="rId5"/>
    <sheet name="молодежь" sheetId="5" state="hidden" r:id="rId6"/>
    <sheet name=" отдых" sheetId="12" state="hidden" r:id="rId7"/>
    <sheet name="профилактика" sheetId="7" state="hidden" r:id="rId8"/>
    <sheet name="МИТО" sheetId="17" r:id="rId9"/>
    <sheet name="Стр.2 модернизация (2)" sheetId="9" state="hidden" r:id="rId10"/>
    <sheet name="Лист1" sheetId="21" r:id="rId11"/>
  </sheets>
  <definedNames>
    <definedName name="OLE_LINK1" localSheetId="6">' отдых'!#REF!</definedName>
    <definedName name="OLE_LINK1" localSheetId="8">МИТО!#REF!</definedName>
    <definedName name="OLE_LINK1" localSheetId="3">мм!#REF!</definedName>
    <definedName name="OLE_LINK1" localSheetId="2">Модернизация!#REF!</definedName>
    <definedName name="OLE_LINK1" localSheetId="4">'Молодежная политика'!#REF!</definedName>
    <definedName name="OLE_LINK1" localSheetId="5">молодежь!#REF!</definedName>
    <definedName name="OLE_LINK1" localSheetId="7">профилактика!#REF!</definedName>
    <definedName name="OLE_LINK1" localSheetId="9">'Стр.2 модернизация (2)'!#REF!</definedName>
    <definedName name="_xlnm.Print_Titles" localSheetId="6">' отдых'!$4:$5</definedName>
    <definedName name="_xlnm.Print_Titles" localSheetId="8">МИТО!$6:$7</definedName>
    <definedName name="_xlnm.Print_Titles" localSheetId="3">мм!$5:$6</definedName>
    <definedName name="_xlnm.Print_Titles" localSheetId="2">Модернизация!$6:$7</definedName>
    <definedName name="_xlnm.Print_Titles" localSheetId="4">'Молодежная политика'!$6:$7</definedName>
    <definedName name="_xlnm.Print_Titles" localSheetId="5">молодежь!$4:$5</definedName>
    <definedName name="_xlnm.Print_Titles" localSheetId="7">профилактика!$4:$5</definedName>
    <definedName name="_xlnm.Print_Titles" localSheetId="9">'Стр.2 модернизация (2)'!$4:$5</definedName>
    <definedName name="_xlnm.Print_Area" localSheetId="0">'ВСЕГО по РО'!$A$1:$K$29</definedName>
    <definedName name="_xlnm.Print_Area" localSheetId="1">'ИТОГО по РО'!$A$1:$I$37</definedName>
    <definedName name="_xlnm.Print_Area" localSheetId="3">мм!$A$1:$Q$172</definedName>
    <definedName name="_xlnm.Print_Area" localSheetId="2">Модернизация!$A$1:$S$264</definedName>
    <definedName name="_xlnm.Print_Area" localSheetId="4">'Молодежная политика'!$A$1:$S$74</definedName>
    <definedName name="_xlnm.Print_Area" localSheetId="9">'Стр.2 модернизация (2)'!$A$1:$Q$173</definedName>
  </definedNames>
  <calcPr calcId="145621"/>
</workbook>
</file>

<file path=xl/calcChain.xml><?xml version="1.0" encoding="utf-8"?>
<calcChain xmlns="http://schemas.openxmlformats.org/spreadsheetml/2006/main">
  <c r="H8" i="21" l="1"/>
  <c r="I12" i="17" l="1"/>
  <c r="I19" i="19"/>
  <c r="I27" i="19"/>
  <c r="I73" i="19" l="1"/>
  <c r="K237" i="19"/>
  <c r="J237" i="19"/>
  <c r="J235" i="19" s="1"/>
  <c r="I237" i="19"/>
  <c r="H237" i="19"/>
  <c r="E237" i="19" s="1"/>
  <c r="E236" i="19"/>
  <c r="K235" i="19"/>
  <c r="I235" i="19"/>
  <c r="G235" i="19"/>
  <c r="F235" i="19"/>
  <c r="I167" i="19"/>
  <c r="I166" i="19"/>
  <c r="I70" i="19"/>
  <c r="I71" i="19"/>
  <c r="I26" i="19"/>
  <c r="I32" i="19"/>
  <c r="I31" i="19"/>
  <c r="I18" i="19"/>
  <c r="H235" i="19" l="1"/>
  <c r="E235" i="19" s="1"/>
  <c r="I30" i="19"/>
  <c r="I17" i="19"/>
  <c r="I25" i="19"/>
  <c r="I23" i="17"/>
  <c r="H9" i="21"/>
  <c r="H10" i="21"/>
  <c r="H7" i="21"/>
  <c r="I55" i="20" l="1"/>
  <c r="I228" i="19"/>
  <c r="I225" i="19"/>
  <c r="I15" i="19"/>
  <c r="I59" i="20"/>
  <c r="I68" i="19"/>
  <c r="E56" i="19" l="1"/>
  <c r="E55" i="19"/>
  <c r="K54" i="19"/>
  <c r="J54" i="19"/>
  <c r="I54" i="19"/>
  <c r="H54" i="19"/>
  <c r="G54" i="19"/>
  <c r="F54" i="19"/>
  <c r="F58" i="19"/>
  <c r="G58" i="19"/>
  <c r="H58" i="19"/>
  <c r="I58" i="19"/>
  <c r="J58" i="19"/>
  <c r="K58" i="19"/>
  <c r="E59" i="19"/>
  <c r="E54" i="19" l="1"/>
  <c r="G18" i="19"/>
  <c r="I58" i="20" l="1"/>
  <c r="I43" i="20"/>
  <c r="I37" i="20" l="1"/>
  <c r="I46" i="20"/>
  <c r="H14" i="20"/>
  <c r="I14" i="20"/>
  <c r="J14" i="20"/>
  <c r="K14" i="20"/>
  <c r="F14" i="20"/>
  <c r="G13" i="20"/>
  <c r="H13" i="20"/>
  <c r="I13" i="20"/>
  <c r="J13" i="20"/>
  <c r="K13" i="20"/>
  <c r="F13" i="20"/>
  <c r="E13" i="20"/>
  <c r="H12" i="20"/>
  <c r="H11" i="20" s="1"/>
  <c r="I12" i="20"/>
  <c r="I11" i="20" s="1"/>
  <c r="J12" i="20"/>
  <c r="J11" i="20" s="1"/>
  <c r="K12" i="20"/>
  <c r="K11" i="20" s="1"/>
  <c r="F12" i="20"/>
  <c r="F11" i="20" s="1"/>
  <c r="K17" i="20"/>
  <c r="J17" i="20"/>
  <c r="I17" i="20"/>
  <c r="H17" i="20"/>
  <c r="G17" i="20"/>
  <c r="F17" i="20"/>
  <c r="E19" i="20"/>
  <c r="E18" i="20"/>
  <c r="E16" i="20"/>
  <c r="G15" i="20"/>
  <c r="E15" i="20" s="1"/>
  <c r="E17" i="20" l="1"/>
  <c r="G12" i="20"/>
  <c r="G11" i="20" s="1"/>
  <c r="G14" i="20"/>
  <c r="E14" i="20" s="1"/>
  <c r="E12" i="20"/>
  <c r="I209" i="19"/>
  <c r="I213" i="19"/>
  <c r="I212" i="19"/>
  <c r="E213" i="19"/>
  <c r="E219" i="19"/>
  <c r="E218" i="19"/>
  <c r="E217" i="19" s="1"/>
  <c r="K217" i="19"/>
  <c r="J217" i="19"/>
  <c r="I217" i="19"/>
  <c r="H217" i="19"/>
  <c r="G217" i="19"/>
  <c r="F217" i="19"/>
  <c r="E216" i="19"/>
  <c r="E215" i="19"/>
  <c r="E214" i="19" s="1"/>
  <c r="K214" i="19"/>
  <c r="J214" i="19"/>
  <c r="I214" i="19"/>
  <c r="H214" i="19"/>
  <c r="G214" i="19"/>
  <c r="F214" i="19"/>
  <c r="E212" i="19"/>
  <c r="K211" i="19"/>
  <c r="J211" i="19"/>
  <c r="I211" i="19"/>
  <c r="H211" i="19"/>
  <c r="G211" i="19"/>
  <c r="F211" i="19"/>
  <c r="I163" i="19"/>
  <c r="I164" i="19"/>
  <c r="E170" i="19"/>
  <c r="E169" i="19"/>
  <c r="K168" i="19"/>
  <c r="J168" i="19"/>
  <c r="I168" i="19"/>
  <c r="H168" i="19"/>
  <c r="G168" i="19"/>
  <c r="F168" i="19"/>
  <c r="E167" i="19"/>
  <c r="E166" i="19"/>
  <c r="K165" i="19"/>
  <c r="J165" i="19"/>
  <c r="I165" i="19"/>
  <c r="H165" i="19"/>
  <c r="G165" i="19"/>
  <c r="F165" i="19"/>
  <c r="I53" i="19"/>
  <c r="I51" i="19" s="1"/>
  <c r="J51" i="19"/>
  <c r="E53" i="19"/>
  <c r="E51" i="19" s="1"/>
  <c r="E52" i="19"/>
  <c r="K51" i="19"/>
  <c r="H51" i="19"/>
  <c r="G51" i="19"/>
  <c r="F51" i="19"/>
  <c r="F48" i="19"/>
  <c r="G48" i="19"/>
  <c r="H48" i="19"/>
  <c r="E49" i="19"/>
  <c r="I50" i="19"/>
  <c r="I48" i="19" s="1"/>
  <c r="J50" i="19"/>
  <c r="J48" i="19" s="1"/>
  <c r="K50" i="19"/>
  <c r="K48" i="19" s="1"/>
  <c r="E165" i="19" l="1"/>
  <c r="E168" i="19"/>
  <c r="E211" i="19"/>
  <c r="E50" i="19"/>
  <c r="E48" i="19" s="1"/>
  <c r="I208" i="19" l="1"/>
  <c r="E210" i="19"/>
  <c r="K208" i="19"/>
  <c r="J208" i="19"/>
  <c r="H208" i="19"/>
  <c r="G208" i="19"/>
  <c r="F208" i="19"/>
  <c r="E209" i="19" l="1"/>
  <c r="E208" i="19" s="1"/>
  <c r="I194" i="19" l="1"/>
  <c r="I197" i="19"/>
  <c r="H5" i="21" l="1"/>
  <c r="J73" i="19"/>
  <c r="J8" i="21"/>
  <c r="J7" i="21" s="1"/>
  <c r="J5" i="21" s="1"/>
  <c r="I8" i="21"/>
  <c r="I7" i="21" s="1"/>
  <c r="I5" i="21" s="1"/>
  <c r="D10" i="21"/>
  <c r="D9" i="21"/>
  <c r="G7" i="21"/>
  <c r="G5" i="21" s="1"/>
  <c r="F7" i="21"/>
  <c r="F5" i="21" s="1"/>
  <c r="E7" i="21"/>
  <c r="E5" i="21" s="1"/>
  <c r="K73" i="19"/>
  <c r="J225" i="19"/>
  <c r="K225" i="19"/>
  <c r="K71" i="19"/>
  <c r="J70" i="19"/>
  <c r="K70" i="19"/>
  <c r="J71" i="19"/>
  <c r="K19" i="19"/>
  <c r="K31" i="19"/>
  <c r="K27" i="19"/>
  <c r="K26" i="19"/>
  <c r="K18" i="19"/>
  <c r="J18" i="19"/>
  <c r="J32" i="19"/>
  <c r="J19" i="19"/>
  <c r="J27" i="19"/>
  <c r="J31" i="19"/>
  <c r="J26" i="19"/>
  <c r="J37" i="20"/>
  <c r="K37" i="20"/>
  <c r="K47" i="19"/>
  <c r="J47" i="19"/>
  <c r="K16" i="19" l="1"/>
  <c r="J16" i="19"/>
  <c r="D8" i="21"/>
  <c r="D7" i="21"/>
  <c r="D5" i="21"/>
  <c r="G47" i="19"/>
  <c r="H47" i="19"/>
  <c r="I47" i="19"/>
  <c r="E207" i="19" l="1"/>
  <c r="E206" i="19"/>
  <c r="K205" i="19"/>
  <c r="J205" i="19"/>
  <c r="I205" i="19"/>
  <c r="H205" i="19"/>
  <c r="G205" i="19"/>
  <c r="F205" i="19"/>
  <c r="I200" i="19"/>
  <c r="E164" i="19"/>
  <c r="E163" i="19"/>
  <c r="K162" i="19"/>
  <c r="J162" i="19"/>
  <c r="I162" i="19"/>
  <c r="H162" i="19"/>
  <c r="G162" i="19"/>
  <c r="F162" i="19"/>
  <c r="E98" i="19"/>
  <c r="E97" i="19"/>
  <c r="H96" i="19"/>
  <c r="I157" i="19"/>
  <c r="E161" i="19"/>
  <c r="E160" i="19"/>
  <c r="K159" i="19"/>
  <c r="J159" i="19"/>
  <c r="I159" i="19"/>
  <c r="H159" i="19"/>
  <c r="G159" i="19"/>
  <c r="F159" i="19"/>
  <c r="I88" i="19"/>
  <c r="E96" i="19" l="1"/>
  <c r="E159" i="19"/>
  <c r="E205" i="19"/>
  <c r="E162" i="19"/>
  <c r="I16" i="19"/>
  <c r="I14" i="19" l="1"/>
  <c r="H18" i="19"/>
  <c r="H70" i="19" l="1"/>
  <c r="H71" i="19"/>
  <c r="H12" i="17"/>
  <c r="H23" i="17"/>
  <c r="D6" i="21"/>
  <c r="F258" i="19"/>
  <c r="G258" i="19"/>
  <c r="E259" i="19"/>
  <c r="H260" i="19"/>
  <c r="I258" i="19"/>
  <c r="J260" i="19"/>
  <c r="J258" i="19" s="1"/>
  <c r="K260" i="19"/>
  <c r="K258" i="19" s="1"/>
  <c r="F240" i="19"/>
  <c r="F232" i="19" s="1"/>
  <c r="H240" i="19"/>
  <c r="H232" i="19" s="1"/>
  <c r="I240" i="19"/>
  <c r="I232" i="19" s="1"/>
  <c r="J240" i="19"/>
  <c r="J232" i="19" s="1"/>
  <c r="K240" i="19"/>
  <c r="K232" i="19" s="1"/>
  <c r="F242" i="19"/>
  <c r="G242" i="19"/>
  <c r="H242" i="19"/>
  <c r="I242" i="19"/>
  <c r="J242" i="19"/>
  <c r="K242" i="19"/>
  <c r="E243" i="19"/>
  <c r="E244" i="19"/>
  <c r="G246" i="19"/>
  <c r="G240" i="19" s="1"/>
  <c r="G232" i="19" s="1"/>
  <c r="F247" i="19"/>
  <c r="F241" i="19" s="1"/>
  <c r="F233" i="19" s="1"/>
  <c r="G247" i="19"/>
  <c r="G241" i="19" s="1"/>
  <c r="G233" i="19" s="1"/>
  <c r="H247" i="19"/>
  <c r="H241" i="19" s="1"/>
  <c r="H233" i="19" s="1"/>
  <c r="I247" i="19"/>
  <c r="I241" i="19" s="1"/>
  <c r="I233" i="19" s="1"/>
  <c r="J247" i="19"/>
  <c r="J241" i="19" s="1"/>
  <c r="J233" i="19" s="1"/>
  <c r="K247" i="19"/>
  <c r="K241" i="19" s="1"/>
  <c r="K233" i="19" s="1"/>
  <c r="F248" i="19"/>
  <c r="G248" i="19"/>
  <c r="H248" i="19"/>
  <c r="I248" i="19"/>
  <c r="J248" i="19"/>
  <c r="K248" i="19"/>
  <c r="E249" i="19"/>
  <c r="E250" i="19"/>
  <c r="F251" i="19"/>
  <c r="G251" i="19"/>
  <c r="H251" i="19"/>
  <c r="I251" i="19"/>
  <c r="J251" i="19"/>
  <c r="K251" i="19"/>
  <c r="E252" i="19"/>
  <c r="E253" i="19"/>
  <c r="F254" i="19"/>
  <c r="G254" i="19"/>
  <c r="H254" i="19"/>
  <c r="I254" i="19"/>
  <c r="J254" i="19"/>
  <c r="K254" i="19"/>
  <c r="E255" i="19"/>
  <c r="E256" i="19"/>
  <c r="G231" i="19" l="1"/>
  <c r="J231" i="19"/>
  <c r="H231" i="19"/>
  <c r="E233" i="19"/>
  <c r="K231" i="19"/>
  <c r="I231" i="19"/>
  <c r="E232" i="19"/>
  <c r="F231" i="19"/>
  <c r="E231" i="19" s="1"/>
  <c r="K239" i="19"/>
  <c r="I239" i="19"/>
  <c r="E260" i="19"/>
  <c r="E254" i="19"/>
  <c r="E251" i="19"/>
  <c r="E248" i="19"/>
  <c r="E242" i="19"/>
  <c r="F239" i="19"/>
  <c r="G239" i="19"/>
  <c r="J239" i="19"/>
  <c r="H239" i="19"/>
  <c r="K245" i="19"/>
  <c r="I245" i="19"/>
  <c r="G245" i="19"/>
  <c r="H258" i="19"/>
  <c r="E258" i="19" s="1"/>
  <c r="E247" i="19"/>
  <c r="E241" i="19" s="1"/>
  <c r="E246" i="19"/>
  <c r="E240" i="19" s="1"/>
  <c r="J245" i="19"/>
  <c r="H245" i="19"/>
  <c r="F245" i="19"/>
  <c r="H31" i="19"/>
  <c r="H26" i="19"/>
  <c r="H27" i="19"/>
  <c r="E239" i="19" l="1"/>
  <c r="E245" i="19"/>
  <c r="H32" i="19"/>
  <c r="H19" i="19"/>
  <c r="H228" i="19"/>
  <c r="H35" i="19"/>
  <c r="H16" i="19" l="1"/>
  <c r="H68" i="19"/>
  <c r="H88" i="19"/>
  <c r="H136" i="19" l="1"/>
  <c r="E204" i="19"/>
  <c r="E203" i="19"/>
  <c r="K202" i="19"/>
  <c r="J202" i="19"/>
  <c r="I202" i="19"/>
  <c r="H202" i="19"/>
  <c r="G202" i="19"/>
  <c r="F202" i="19"/>
  <c r="E202" i="19" l="1"/>
  <c r="E201" i="19"/>
  <c r="E200" i="19"/>
  <c r="K199" i="19"/>
  <c r="J199" i="19"/>
  <c r="I199" i="19"/>
  <c r="H199" i="19"/>
  <c r="G199" i="19"/>
  <c r="F199" i="19"/>
  <c r="E199" i="19" l="1"/>
  <c r="H225" i="19"/>
  <c r="H43" i="20" l="1"/>
  <c r="H46" i="20"/>
  <c r="H37" i="20"/>
  <c r="H33" i="17"/>
  <c r="H73" i="19" l="1"/>
  <c r="H74" i="19"/>
  <c r="G74" i="19"/>
  <c r="G73" i="19"/>
  <c r="G71" i="19"/>
  <c r="G70" i="19"/>
  <c r="E71" i="19" l="1"/>
  <c r="E70" i="19"/>
  <c r="J82" i="19"/>
  <c r="J81" i="19" s="1"/>
  <c r="K82" i="19"/>
  <c r="K81" i="19" s="1"/>
  <c r="I82" i="19"/>
  <c r="I87" i="19"/>
  <c r="J87" i="19"/>
  <c r="K87" i="19"/>
  <c r="G105" i="19"/>
  <c r="F102" i="19"/>
  <c r="G102" i="19"/>
  <c r="H102" i="19"/>
  <c r="I102" i="19"/>
  <c r="J102" i="19"/>
  <c r="K102" i="19"/>
  <c r="E104" i="19"/>
  <c r="E103" i="19"/>
  <c r="G100" i="19"/>
  <c r="E69" i="19" l="1"/>
  <c r="I81" i="19"/>
  <c r="E102" i="19"/>
  <c r="H100" i="19" l="1"/>
  <c r="F156" i="19" l="1"/>
  <c r="E157" i="19" l="1"/>
  <c r="F148" i="19"/>
  <c r="F151" i="19"/>
  <c r="F154" i="19"/>
  <c r="H124" i="19"/>
  <c r="H125" i="19"/>
  <c r="E113" i="19"/>
  <c r="E112" i="19"/>
  <c r="E110" i="19"/>
  <c r="E109" i="19"/>
  <c r="E106" i="19"/>
  <c r="E107" i="19"/>
  <c r="E101" i="19"/>
  <c r="K100" i="19"/>
  <c r="K99" i="19" s="1"/>
  <c r="J100" i="19"/>
  <c r="J99" i="19" s="1"/>
  <c r="I100" i="19"/>
  <c r="H99" i="19"/>
  <c r="K111" i="19"/>
  <c r="K108" i="19"/>
  <c r="K105" i="19"/>
  <c r="J111" i="19"/>
  <c r="J108" i="19"/>
  <c r="J105" i="19"/>
  <c r="I111" i="19"/>
  <c r="I108" i="19"/>
  <c r="I105" i="19"/>
  <c r="H111" i="19"/>
  <c r="H108" i="19"/>
  <c r="H105" i="19"/>
  <c r="I99" i="19" l="1"/>
  <c r="H123" i="19"/>
  <c r="E105" i="19"/>
  <c r="E108" i="19"/>
  <c r="E111" i="19"/>
  <c r="H156" i="19"/>
  <c r="E121" i="19" l="1"/>
  <c r="E88" i="19"/>
  <c r="E89" i="19"/>
  <c r="E91" i="19"/>
  <c r="E92" i="19"/>
  <c r="E95" i="19"/>
  <c r="E94" i="19"/>
  <c r="E137" i="19"/>
  <c r="E136" i="19"/>
  <c r="E135" i="19" l="1"/>
  <c r="E93" i="19"/>
  <c r="E87" i="19"/>
  <c r="E90" i="19"/>
  <c r="H135" i="19"/>
  <c r="H83" i="19"/>
  <c r="H80" i="19" s="1"/>
  <c r="H82" i="19"/>
  <c r="H84" i="19"/>
  <c r="I84" i="19"/>
  <c r="J84" i="19"/>
  <c r="K84" i="19"/>
  <c r="G84" i="19"/>
  <c r="F85" i="19"/>
  <c r="E85" i="19" s="1"/>
  <c r="H79" i="19" l="1"/>
  <c r="H87" i="19"/>
  <c r="H90" i="19"/>
  <c r="H93" i="19"/>
  <c r="H78" i="19" l="1"/>
  <c r="H81" i="19"/>
  <c r="K72" i="19"/>
  <c r="J65" i="19"/>
  <c r="H64" i="19"/>
  <c r="I49" i="20"/>
  <c r="I34" i="20" s="1"/>
  <c r="K50" i="20"/>
  <c r="K49" i="20"/>
  <c r="J50" i="20"/>
  <c r="J35" i="20" s="1"/>
  <c r="J74" i="20" s="1"/>
  <c r="J18" i="13" s="1"/>
  <c r="J49" i="20"/>
  <c r="J34" i="20" s="1"/>
  <c r="I50" i="20"/>
  <c r="I35" i="20" s="1"/>
  <c r="I74" i="20" s="1"/>
  <c r="H50" i="20"/>
  <c r="H35" i="20" s="1"/>
  <c r="H74" i="20" s="1"/>
  <c r="H18" i="13" s="1"/>
  <c r="H49" i="20"/>
  <c r="H34" i="20" s="1"/>
  <c r="G50" i="20"/>
  <c r="G35" i="20" s="1"/>
  <c r="G74" i="20" s="1"/>
  <c r="G18" i="13" s="1"/>
  <c r="G49" i="20"/>
  <c r="F50" i="20"/>
  <c r="F35" i="20" s="1"/>
  <c r="F49" i="20"/>
  <c r="K54" i="20"/>
  <c r="J54" i="20"/>
  <c r="I54" i="20"/>
  <c r="H54" i="20"/>
  <c r="G54" i="20"/>
  <c r="F54" i="20"/>
  <c r="K57" i="20"/>
  <c r="J57" i="20"/>
  <c r="I57" i="20"/>
  <c r="H57" i="20"/>
  <c r="G57" i="20"/>
  <c r="F57" i="20"/>
  <c r="E59" i="20"/>
  <c r="E58" i="20"/>
  <c r="E56" i="20"/>
  <c r="E55" i="20"/>
  <c r="J45" i="19"/>
  <c r="I45" i="19"/>
  <c r="K45" i="19"/>
  <c r="H45" i="19"/>
  <c r="G37" i="20"/>
  <c r="E37" i="20" s="1"/>
  <c r="K40" i="20"/>
  <c r="K39" i="20" s="1"/>
  <c r="I36" i="20"/>
  <c r="I20" i="13" s="1"/>
  <c r="H40" i="20"/>
  <c r="H39" i="20" s="1"/>
  <c r="H42" i="20"/>
  <c r="H45" i="20"/>
  <c r="H51" i="20"/>
  <c r="F36" i="20"/>
  <c r="F20" i="13" s="1"/>
  <c r="I69" i="19"/>
  <c r="G125" i="19"/>
  <c r="G124" i="19"/>
  <c r="G156" i="19"/>
  <c r="I156" i="19"/>
  <c r="J156" i="19"/>
  <c r="K156" i="19"/>
  <c r="I40" i="20"/>
  <c r="I39" i="20" s="1"/>
  <c r="F43" i="20"/>
  <c r="F42" i="20" s="1"/>
  <c r="F21" i="20"/>
  <c r="E22" i="20"/>
  <c r="E24" i="20"/>
  <c r="E25" i="20"/>
  <c r="G26" i="20"/>
  <c r="G21" i="20" s="1"/>
  <c r="H26" i="20"/>
  <c r="H21" i="20" s="1"/>
  <c r="J21" i="20"/>
  <c r="K21" i="20"/>
  <c r="E27" i="20"/>
  <c r="F29" i="20"/>
  <c r="H29" i="20"/>
  <c r="I29" i="20"/>
  <c r="J29" i="20"/>
  <c r="K29" i="20"/>
  <c r="G30" i="20"/>
  <c r="E30" i="20" s="1"/>
  <c r="E31" i="20"/>
  <c r="K35" i="20"/>
  <c r="K74" i="20" s="1"/>
  <c r="K18" i="13" s="1"/>
  <c r="E38" i="20"/>
  <c r="G40" i="20"/>
  <c r="G39" i="20" s="1"/>
  <c r="G42" i="20"/>
  <c r="I42" i="20"/>
  <c r="K42" i="20"/>
  <c r="E44" i="20"/>
  <c r="G45" i="20"/>
  <c r="I45" i="20"/>
  <c r="J45" i="20"/>
  <c r="K45" i="20"/>
  <c r="F46" i="20"/>
  <c r="F45" i="20" s="1"/>
  <c r="F51" i="20"/>
  <c r="G51" i="20"/>
  <c r="I51" i="20"/>
  <c r="J51" i="20"/>
  <c r="K51" i="20"/>
  <c r="E52" i="20"/>
  <c r="E51" i="20" s="1"/>
  <c r="F61" i="20"/>
  <c r="G61" i="20"/>
  <c r="H61" i="20"/>
  <c r="I61" i="20"/>
  <c r="J61" i="20"/>
  <c r="K61" i="20"/>
  <c r="E66" i="20"/>
  <c r="E67" i="20"/>
  <c r="E69" i="20"/>
  <c r="G69" i="20"/>
  <c r="I33" i="17"/>
  <c r="K65" i="19"/>
  <c r="K30" i="19"/>
  <c r="K12" i="13" s="1"/>
  <c r="J25" i="19"/>
  <c r="G31" i="19"/>
  <c r="G27" i="19"/>
  <c r="G26" i="19"/>
  <c r="G19" i="19"/>
  <c r="G35" i="19"/>
  <c r="G33" i="19" s="1"/>
  <c r="G14" i="13" s="1"/>
  <c r="G69" i="19"/>
  <c r="G68" i="19"/>
  <c r="G65" i="19" s="1"/>
  <c r="G67" i="19"/>
  <c r="E67" i="19" s="1"/>
  <c r="F66" i="19"/>
  <c r="F65" i="19"/>
  <c r="F64" i="19"/>
  <c r="J66" i="19"/>
  <c r="K66" i="19"/>
  <c r="H69" i="19"/>
  <c r="I65" i="19"/>
  <c r="G12" i="17"/>
  <c r="G11" i="17" s="1"/>
  <c r="G32" i="19"/>
  <c r="F69" i="19"/>
  <c r="I125" i="19"/>
  <c r="I80" i="19" s="1"/>
  <c r="J125" i="19"/>
  <c r="K125" i="19"/>
  <c r="I124" i="19"/>
  <c r="I79" i="19" s="1"/>
  <c r="J124" i="19"/>
  <c r="K124" i="19"/>
  <c r="E134" i="19"/>
  <c r="E133" i="19"/>
  <c r="K132" i="19"/>
  <c r="J132" i="19"/>
  <c r="I132" i="19"/>
  <c r="H132" i="19"/>
  <c r="G132" i="19"/>
  <c r="F132" i="19"/>
  <c r="E46" i="19"/>
  <c r="F45" i="19"/>
  <c r="G38" i="19"/>
  <c r="H38" i="19"/>
  <c r="H13" i="19" s="1"/>
  <c r="I38" i="19"/>
  <c r="I13" i="19" s="1"/>
  <c r="J38" i="19"/>
  <c r="K38" i="19"/>
  <c r="K13" i="19" s="1"/>
  <c r="F38" i="19"/>
  <c r="G37" i="19"/>
  <c r="G36" i="19" s="1"/>
  <c r="H37" i="19"/>
  <c r="I37" i="19"/>
  <c r="J37" i="19"/>
  <c r="K37" i="19"/>
  <c r="K36" i="19" s="1"/>
  <c r="F37" i="19"/>
  <c r="F36" i="19" s="1"/>
  <c r="E44" i="19"/>
  <c r="E43" i="19"/>
  <c r="K42" i="19"/>
  <c r="J42" i="19"/>
  <c r="I42" i="19"/>
  <c r="H42" i="19"/>
  <c r="G42" i="19"/>
  <c r="F42" i="19"/>
  <c r="E41" i="19"/>
  <c r="E40" i="19"/>
  <c r="K39" i="19"/>
  <c r="J39" i="19"/>
  <c r="I39" i="19"/>
  <c r="H39" i="19"/>
  <c r="G39" i="19"/>
  <c r="F39" i="19"/>
  <c r="E122" i="19"/>
  <c r="E120" i="19" s="1"/>
  <c r="G120" i="19"/>
  <c r="H120" i="19"/>
  <c r="I120" i="19"/>
  <c r="J120" i="19"/>
  <c r="K120" i="19"/>
  <c r="F120" i="19"/>
  <c r="G114" i="19"/>
  <c r="H114" i="19"/>
  <c r="I114" i="19"/>
  <c r="J114" i="19"/>
  <c r="K114" i="19"/>
  <c r="F114" i="19"/>
  <c r="E116" i="19"/>
  <c r="E115" i="19"/>
  <c r="H222" i="19"/>
  <c r="H221" i="19" s="1"/>
  <c r="I222" i="19"/>
  <c r="I221" i="19" s="1"/>
  <c r="J222" i="19"/>
  <c r="J221" i="19" s="1"/>
  <c r="K222" i="19"/>
  <c r="K221" i="19" s="1"/>
  <c r="G222" i="19"/>
  <c r="G221" i="19" s="1"/>
  <c r="E226" i="19"/>
  <c r="E225" i="19"/>
  <c r="K224" i="19"/>
  <c r="J224" i="19"/>
  <c r="I224" i="19"/>
  <c r="H224" i="19"/>
  <c r="G224" i="19"/>
  <c r="F224" i="19"/>
  <c r="E229" i="19"/>
  <c r="E228" i="19"/>
  <c r="K227" i="19"/>
  <c r="J227" i="19"/>
  <c r="I227" i="19"/>
  <c r="H227" i="19"/>
  <c r="G227" i="19"/>
  <c r="F227" i="19"/>
  <c r="G22" i="17"/>
  <c r="H22" i="17"/>
  <c r="I22" i="17"/>
  <c r="J22" i="17"/>
  <c r="K22" i="17"/>
  <c r="F22" i="17"/>
  <c r="E24" i="17"/>
  <c r="E23" i="17"/>
  <c r="E223" i="19"/>
  <c r="F221" i="19"/>
  <c r="E131" i="19"/>
  <c r="E130" i="19"/>
  <c r="F129" i="19"/>
  <c r="G129" i="19"/>
  <c r="H129" i="19"/>
  <c r="I129" i="19"/>
  <c r="J129" i="19"/>
  <c r="K129" i="19"/>
  <c r="F126" i="19"/>
  <c r="G126" i="19"/>
  <c r="H126" i="19"/>
  <c r="I126" i="19"/>
  <c r="J126" i="19"/>
  <c r="K126" i="19"/>
  <c r="E128" i="19"/>
  <c r="E127" i="19"/>
  <c r="F117" i="19"/>
  <c r="G117" i="19"/>
  <c r="H117" i="19"/>
  <c r="I117" i="19"/>
  <c r="J117" i="19"/>
  <c r="K117" i="19"/>
  <c r="E119" i="19"/>
  <c r="E118" i="19"/>
  <c r="F99" i="19"/>
  <c r="G99" i="19"/>
  <c r="E100" i="19"/>
  <c r="E99" i="19" s="1"/>
  <c r="F139" i="19"/>
  <c r="F123" i="19"/>
  <c r="J33" i="17"/>
  <c r="J24" i="13" s="1"/>
  <c r="G191" i="19"/>
  <c r="F192" i="19"/>
  <c r="H191" i="19"/>
  <c r="I191" i="19"/>
  <c r="J191" i="19"/>
  <c r="K191" i="19"/>
  <c r="F191" i="19"/>
  <c r="K198" i="19"/>
  <c r="K196" i="19" s="1"/>
  <c r="J198" i="19"/>
  <c r="I198" i="19"/>
  <c r="I196" i="19" s="1"/>
  <c r="H198" i="19"/>
  <c r="G198" i="19"/>
  <c r="G196" i="19" s="1"/>
  <c r="E197" i="19"/>
  <c r="F196" i="19"/>
  <c r="E34" i="19"/>
  <c r="K33" i="19"/>
  <c r="K14" i="13" s="1"/>
  <c r="J33" i="19"/>
  <c r="J14" i="13" s="1"/>
  <c r="I33" i="19"/>
  <c r="I14" i="13" s="1"/>
  <c r="H33" i="19"/>
  <c r="H14" i="13" s="1"/>
  <c r="F33" i="19"/>
  <c r="F14" i="13" s="1"/>
  <c r="F12" i="17"/>
  <c r="E148" i="19"/>
  <c r="E195" i="19"/>
  <c r="E194" i="19"/>
  <c r="K193" i="19"/>
  <c r="J193" i="19"/>
  <c r="I193" i="19"/>
  <c r="H193" i="19"/>
  <c r="G193" i="19"/>
  <c r="F193" i="19"/>
  <c r="E189" i="19"/>
  <c r="E188" i="19"/>
  <c r="K187" i="19"/>
  <c r="J187" i="19"/>
  <c r="I187" i="19"/>
  <c r="H187" i="19"/>
  <c r="G187" i="19"/>
  <c r="F187" i="19"/>
  <c r="F31" i="19"/>
  <c r="F26" i="19"/>
  <c r="F18" i="19"/>
  <c r="H177" i="19"/>
  <c r="I177" i="19"/>
  <c r="J177" i="19"/>
  <c r="K177" i="19"/>
  <c r="G177" i="19"/>
  <c r="F177" i="19"/>
  <c r="K176" i="19"/>
  <c r="K173" i="19" s="1"/>
  <c r="J176" i="19"/>
  <c r="J173" i="19" s="1"/>
  <c r="I176" i="19"/>
  <c r="I173" i="19" s="1"/>
  <c r="H176" i="19"/>
  <c r="H173" i="19" s="1"/>
  <c r="G176" i="19"/>
  <c r="G173" i="19" s="1"/>
  <c r="F82" i="19"/>
  <c r="E186" i="19"/>
  <c r="F185" i="19"/>
  <c r="E185" i="19" s="1"/>
  <c r="K184" i="19"/>
  <c r="J184" i="19"/>
  <c r="I184" i="19"/>
  <c r="H184" i="19"/>
  <c r="G184" i="19"/>
  <c r="F182" i="19"/>
  <c r="F72" i="19"/>
  <c r="F32" i="19"/>
  <c r="F30" i="19" s="1"/>
  <c r="F12" i="13" s="1"/>
  <c r="F27" i="19"/>
  <c r="F19" i="19"/>
  <c r="E140" i="19"/>
  <c r="K138" i="19"/>
  <c r="J138" i="19"/>
  <c r="I138" i="19"/>
  <c r="H138" i="19"/>
  <c r="G138" i="19"/>
  <c r="E151" i="19"/>
  <c r="K144" i="19"/>
  <c r="J144" i="19"/>
  <c r="I144" i="19"/>
  <c r="H144" i="19"/>
  <c r="G144" i="19"/>
  <c r="F146" i="19"/>
  <c r="E154" i="19"/>
  <c r="F179" i="19"/>
  <c r="F178" i="19" s="1"/>
  <c r="E183" i="19"/>
  <c r="K181" i="19"/>
  <c r="J181" i="19"/>
  <c r="I181" i="19"/>
  <c r="H181" i="19"/>
  <c r="G181" i="19"/>
  <c r="E180" i="19"/>
  <c r="K178" i="19"/>
  <c r="J178" i="19"/>
  <c r="I178" i="19"/>
  <c r="H178" i="19"/>
  <c r="G178" i="19"/>
  <c r="E13" i="17"/>
  <c r="G34" i="17"/>
  <c r="G25" i="13" s="1"/>
  <c r="H34" i="17"/>
  <c r="I34" i="17"/>
  <c r="I25" i="13" s="1"/>
  <c r="J34" i="17"/>
  <c r="K34" i="17"/>
  <c r="K25" i="13" s="1"/>
  <c r="F34" i="17"/>
  <c r="F25" i="13" s="1"/>
  <c r="I11" i="17"/>
  <c r="E143" i="19"/>
  <c r="E142" i="19"/>
  <c r="K141" i="19"/>
  <c r="J141" i="19"/>
  <c r="I141" i="19"/>
  <c r="H141" i="19"/>
  <c r="G141" i="19"/>
  <c r="F141" i="19"/>
  <c r="F83" i="19"/>
  <c r="E155" i="19"/>
  <c r="K153" i="19"/>
  <c r="J153" i="19"/>
  <c r="I153" i="19"/>
  <c r="H153" i="19"/>
  <c r="G153" i="19"/>
  <c r="E152" i="19"/>
  <c r="K150" i="19"/>
  <c r="J150" i="19"/>
  <c r="I150" i="19"/>
  <c r="H150" i="19"/>
  <c r="G150" i="19"/>
  <c r="E149" i="19"/>
  <c r="K147" i="19"/>
  <c r="J147" i="19"/>
  <c r="H147" i="19"/>
  <c r="G147" i="19"/>
  <c r="E60" i="19"/>
  <c r="E58" i="19" s="1"/>
  <c r="F13" i="13"/>
  <c r="G13" i="13"/>
  <c r="H13" i="13"/>
  <c r="J13" i="13"/>
  <c r="K13" i="13"/>
  <c r="I13" i="13"/>
  <c r="G11" i="11"/>
  <c r="G19" i="11"/>
  <c r="G18" i="11" s="1"/>
  <c r="G35" i="12"/>
  <c r="G57" i="12"/>
  <c r="F16" i="8" s="1"/>
  <c r="F57" i="12"/>
  <c r="E16" i="8" s="1"/>
  <c r="J51" i="12"/>
  <c r="J52" i="12" s="1"/>
  <c r="I51" i="12"/>
  <c r="I52" i="12" s="1"/>
  <c r="H51" i="12"/>
  <c r="H52" i="12" s="1"/>
  <c r="G49" i="12"/>
  <c r="F49" i="12"/>
  <c r="J48" i="12"/>
  <c r="I48" i="12"/>
  <c r="H48" i="12"/>
  <c r="E46" i="12"/>
  <c r="F43" i="12"/>
  <c r="E41" i="12"/>
  <c r="E40" i="12" s="1"/>
  <c r="J40" i="12"/>
  <c r="I40" i="12"/>
  <c r="I56" i="12" s="1"/>
  <c r="H15" i="8" s="1"/>
  <c r="H40" i="12"/>
  <c r="H56" i="12" s="1"/>
  <c r="G40" i="12"/>
  <c r="G45" i="12" s="1"/>
  <c r="G43" i="12" s="1"/>
  <c r="F40" i="12"/>
  <c r="E38" i="12"/>
  <c r="E37" i="12" s="1"/>
  <c r="J37" i="12"/>
  <c r="I37" i="12"/>
  <c r="H37" i="12"/>
  <c r="G37" i="12"/>
  <c r="F37" i="12"/>
  <c r="E36" i="12"/>
  <c r="J34" i="12"/>
  <c r="I34" i="12"/>
  <c r="H34" i="12"/>
  <c r="F34" i="12"/>
  <c r="E33" i="12"/>
  <c r="E32" i="12"/>
  <c r="E31" i="12" s="1"/>
  <c r="J31" i="12"/>
  <c r="I31" i="12"/>
  <c r="H31" i="12"/>
  <c r="G31" i="12"/>
  <c r="F31" i="12"/>
  <c r="J27" i="12"/>
  <c r="I27" i="12"/>
  <c r="H27" i="12"/>
  <c r="G27" i="12"/>
  <c r="F27" i="12"/>
  <c r="E25" i="12"/>
  <c r="E23" i="12"/>
  <c r="E27" i="12" s="1"/>
  <c r="J22" i="12"/>
  <c r="J28" i="12" s="1"/>
  <c r="I22" i="12"/>
  <c r="I28" i="12" s="1"/>
  <c r="H22" i="12"/>
  <c r="H28" i="12" s="1"/>
  <c r="G22" i="12"/>
  <c r="G28" i="12" s="1"/>
  <c r="F22" i="12"/>
  <c r="F28" i="12" s="1"/>
  <c r="G20" i="12"/>
  <c r="F20" i="12"/>
  <c r="J19" i="12"/>
  <c r="J17" i="12" s="1"/>
  <c r="I19" i="12"/>
  <c r="H19" i="12"/>
  <c r="F19" i="12"/>
  <c r="F17" i="12" s="1"/>
  <c r="G13" i="12"/>
  <c r="J12" i="12"/>
  <c r="I12" i="12"/>
  <c r="H12" i="12"/>
  <c r="F12" i="12"/>
  <c r="J10" i="12"/>
  <c r="J20" i="12" s="1"/>
  <c r="I10" i="12"/>
  <c r="H10" i="12"/>
  <c r="G9" i="12"/>
  <c r="F9" i="12"/>
  <c r="G9" i="9"/>
  <c r="H9" i="9"/>
  <c r="I9" i="9"/>
  <c r="J9" i="9"/>
  <c r="F10" i="9"/>
  <c r="E10" i="9" s="1"/>
  <c r="E9" i="9" s="1"/>
  <c r="G16" i="9"/>
  <c r="G14" i="9" s="1"/>
  <c r="H16" i="9"/>
  <c r="I16" i="9"/>
  <c r="J16" i="9"/>
  <c r="F17" i="9"/>
  <c r="H17" i="9"/>
  <c r="I17" i="9"/>
  <c r="J17" i="9"/>
  <c r="E20" i="9"/>
  <c r="E22" i="9"/>
  <c r="F24" i="9"/>
  <c r="G24" i="9"/>
  <c r="H24" i="9"/>
  <c r="I24" i="9"/>
  <c r="J24" i="9"/>
  <c r="F26" i="9"/>
  <c r="G26" i="9"/>
  <c r="H26" i="9"/>
  <c r="I26" i="9"/>
  <c r="J26" i="9"/>
  <c r="E27" i="9"/>
  <c r="E30" i="9"/>
  <c r="F36" i="9"/>
  <c r="G36" i="9"/>
  <c r="H36" i="9"/>
  <c r="H34" i="9"/>
  <c r="I36" i="9"/>
  <c r="J36" i="9"/>
  <c r="F37" i="9"/>
  <c r="G37" i="9"/>
  <c r="H37" i="9"/>
  <c r="I37" i="9"/>
  <c r="I34" i="9" s="1"/>
  <c r="J37" i="9"/>
  <c r="J34" i="9"/>
  <c r="F40" i="9"/>
  <c r="H40" i="9"/>
  <c r="I40" i="9"/>
  <c r="J40" i="9"/>
  <c r="F42" i="9"/>
  <c r="H42" i="9"/>
  <c r="I42" i="9"/>
  <c r="J42" i="9"/>
  <c r="E44" i="9"/>
  <c r="E45" i="9"/>
  <c r="E46" i="9"/>
  <c r="F47" i="9"/>
  <c r="H47" i="9"/>
  <c r="I47" i="9"/>
  <c r="J47" i="9"/>
  <c r="G48" i="9"/>
  <c r="G47" i="9" s="1"/>
  <c r="G49" i="9"/>
  <c r="E49" i="9" s="1"/>
  <c r="E51" i="9"/>
  <c r="E52" i="9"/>
  <c r="F57" i="9"/>
  <c r="G57" i="9"/>
  <c r="H57" i="9"/>
  <c r="I57" i="9"/>
  <c r="J57" i="9"/>
  <c r="F58" i="9"/>
  <c r="G58" i="9"/>
  <c r="H58" i="9"/>
  <c r="I58" i="9"/>
  <c r="J58" i="9"/>
  <c r="E59" i="9"/>
  <c r="E58" i="9" s="1"/>
  <c r="F61" i="9"/>
  <c r="H61" i="9"/>
  <c r="H56" i="9" s="1"/>
  <c r="H53" i="9" s="1"/>
  <c r="I61" i="9"/>
  <c r="I56" i="9" s="1"/>
  <c r="J61" i="9"/>
  <c r="J56" i="9" s="1"/>
  <c r="J53" i="9" s="1"/>
  <c r="G62" i="9"/>
  <c r="G61" i="9"/>
  <c r="F64" i="9"/>
  <c r="G64" i="9"/>
  <c r="H64" i="9"/>
  <c r="I64" i="9"/>
  <c r="J64" i="9"/>
  <c r="E65" i="9"/>
  <c r="E64" i="9" s="1"/>
  <c r="F66" i="9"/>
  <c r="G66" i="9"/>
  <c r="H66" i="9"/>
  <c r="I66" i="9"/>
  <c r="J66" i="9"/>
  <c r="E67" i="9"/>
  <c r="E57" i="9" s="1"/>
  <c r="E68" i="9"/>
  <c r="G69" i="9"/>
  <c r="G73" i="9" s="1"/>
  <c r="H69" i="9"/>
  <c r="I69" i="9"/>
  <c r="I73" i="9" s="1"/>
  <c r="J69" i="9"/>
  <c r="F74" i="9"/>
  <c r="G74" i="9"/>
  <c r="H74" i="9"/>
  <c r="I74" i="9"/>
  <c r="J74" i="9"/>
  <c r="G75" i="9"/>
  <c r="H75" i="9"/>
  <c r="I75" i="9"/>
  <c r="J75" i="9"/>
  <c r="F76" i="9"/>
  <c r="F78" i="9"/>
  <c r="G78" i="9"/>
  <c r="H78" i="9"/>
  <c r="I78" i="9"/>
  <c r="J78" i="9"/>
  <c r="E79" i="9"/>
  <c r="E80" i="9"/>
  <c r="E74" i="9" s="1"/>
  <c r="F84" i="9"/>
  <c r="G84" i="9"/>
  <c r="H84" i="9"/>
  <c r="I84" i="9"/>
  <c r="J84" i="9"/>
  <c r="F92" i="9"/>
  <c r="F90" i="9" s="1"/>
  <c r="H92" i="9"/>
  <c r="H90" i="9" s="1"/>
  <c r="I92" i="9"/>
  <c r="I90" i="9" s="1"/>
  <c r="J92" i="9"/>
  <c r="J90" i="9" s="1"/>
  <c r="G93" i="9"/>
  <c r="G92" i="9" s="1"/>
  <c r="G90" i="9" s="1"/>
  <c r="G94" i="9"/>
  <c r="G96" i="9" s="1"/>
  <c r="H94" i="9"/>
  <c r="H86" i="9" s="1"/>
  <c r="I94" i="9"/>
  <c r="J94" i="9"/>
  <c r="J86" i="9" s="1"/>
  <c r="F97" i="9"/>
  <c r="G97" i="9"/>
  <c r="H97" i="9"/>
  <c r="I97" i="9"/>
  <c r="J97" i="9"/>
  <c r="E98" i="9"/>
  <c r="E97" i="9" s="1"/>
  <c r="G102" i="9"/>
  <c r="H102" i="9"/>
  <c r="I102" i="9"/>
  <c r="J102" i="9"/>
  <c r="F103" i="9"/>
  <c r="F105" i="9"/>
  <c r="G105" i="9"/>
  <c r="H105" i="9"/>
  <c r="I105" i="9"/>
  <c r="J105" i="9"/>
  <c r="E106" i="9"/>
  <c r="E105" i="9" s="1"/>
  <c r="E107" i="9"/>
  <c r="F108" i="9"/>
  <c r="G108" i="9"/>
  <c r="H108" i="9"/>
  <c r="I108" i="9"/>
  <c r="J108" i="9"/>
  <c r="E109" i="9"/>
  <c r="E108" i="9" s="1"/>
  <c r="F110" i="9"/>
  <c r="G110" i="9"/>
  <c r="H110" i="9"/>
  <c r="I110" i="9"/>
  <c r="J110" i="9"/>
  <c r="E111" i="9"/>
  <c r="E110" i="9" s="1"/>
  <c r="E112" i="9"/>
  <c r="F119" i="9"/>
  <c r="F117" i="9" s="1"/>
  <c r="H119" i="9"/>
  <c r="H117" i="9" s="1"/>
  <c r="I119" i="9"/>
  <c r="I117" i="9" s="1"/>
  <c r="J119" i="9"/>
  <c r="J117" i="9" s="1"/>
  <c r="G120" i="9"/>
  <c r="G119" i="9" s="1"/>
  <c r="G117" i="9" s="1"/>
  <c r="H122" i="9"/>
  <c r="I122" i="9"/>
  <c r="J122" i="9"/>
  <c r="F124" i="9"/>
  <c r="F122" i="9" s="1"/>
  <c r="G124" i="9"/>
  <c r="E126" i="9"/>
  <c r="E128" i="9"/>
  <c r="G132" i="9"/>
  <c r="H132" i="9"/>
  <c r="I132" i="9"/>
  <c r="J132" i="9"/>
  <c r="F133" i="9"/>
  <c r="G133" i="9"/>
  <c r="H133" i="9"/>
  <c r="I133" i="9"/>
  <c r="J133" i="9"/>
  <c r="G134" i="9"/>
  <c r="H134" i="9"/>
  <c r="I134" i="9"/>
  <c r="J134" i="9"/>
  <c r="F135" i="9"/>
  <c r="F137" i="9"/>
  <c r="G137" i="9"/>
  <c r="H137" i="9"/>
  <c r="I137" i="9"/>
  <c r="J137" i="9"/>
  <c r="E138" i="9"/>
  <c r="E133" i="9" s="1"/>
  <c r="H144" i="9"/>
  <c r="I144" i="9"/>
  <c r="J144" i="9"/>
  <c r="F147" i="9"/>
  <c r="H147" i="9"/>
  <c r="I147" i="9"/>
  <c r="J147" i="9"/>
  <c r="G148" i="9"/>
  <c r="E150" i="9"/>
  <c r="F152" i="9"/>
  <c r="G152" i="9"/>
  <c r="E153" i="9"/>
  <c r="G154" i="9"/>
  <c r="H154" i="9"/>
  <c r="H168" i="9" s="1"/>
  <c r="I154" i="9"/>
  <c r="I168" i="9" s="1"/>
  <c r="J154" i="9"/>
  <c r="J168" i="9" s="1"/>
  <c r="G157" i="9"/>
  <c r="H157" i="9"/>
  <c r="I157" i="9"/>
  <c r="J157" i="9"/>
  <c r="F158" i="9"/>
  <c r="G160" i="9"/>
  <c r="H160" i="9"/>
  <c r="I160" i="9"/>
  <c r="J160" i="9"/>
  <c r="F161" i="9"/>
  <c r="F163" i="9"/>
  <c r="G163" i="9"/>
  <c r="H163" i="9"/>
  <c r="I163" i="9"/>
  <c r="J163" i="9"/>
  <c r="E164" i="9"/>
  <c r="E163" i="9" s="1"/>
  <c r="F169" i="9"/>
  <c r="H169" i="9"/>
  <c r="I169" i="9"/>
  <c r="I166" i="9" s="1"/>
  <c r="J169" i="9"/>
  <c r="F20" i="7"/>
  <c r="E20" i="7" s="1"/>
  <c r="E22" i="7"/>
  <c r="F9" i="5"/>
  <c r="H9" i="5"/>
  <c r="H12" i="5" s="1"/>
  <c r="H13" i="5" s="1"/>
  <c r="I9" i="5"/>
  <c r="J9" i="5"/>
  <c r="J12" i="5" s="1"/>
  <c r="J13" i="5" s="1"/>
  <c r="E10" i="5"/>
  <c r="G11" i="5"/>
  <c r="F16" i="5"/>
  <c r="F21" i="5" s="1"/>
  <c r="F22" i="5" s="1"/>
  <c r="H16" i="5"/>
  <c r="H21" i="5"/>
  <c r="H22" i="5" s="1"/>
  <c r="I16" i="5"/>
  <c r="I21" i="5"/>
  <c r="I22" i="5" s="1"/>
  <c r="J16" i="5"/>
  <c r="E17" i="5"/>
  <c r="E19" i="5"/>
  <c r="G20" i="5"/>
  <c r="G16" i="5" s="1"/>
  <c r="F25" i="5"/>
  <c r="H25" i="5"/>
  <c r="I25" i="5"/>
  <c r="I31" i="5" s="1"/>
  <c r="I32" i="5" s="1"/>
  <c r="J25" i="5"/>
  <c r="J31" i="5" s="1"/>
  <c r="J32" i="5" s="1"/>
  <c r="E26" i="5"/>
  <c r="E28" i="5"/>
  <c r="E29" i="5"/>
  <c r="G30" i="5"/>
  <c r="E30" i="5" s="1"/>
  <c r="F35" i="5"/>
  <c r="F40" i="5" s="1"/>
  <c r="F41" i="5" s="1"/>
  <c r="H35" i="5"/>
  <c r="H40" i="5" s="1"/>
  <c r="H41" i="5" s="1"/>
  <c r="I35" i="5"/>
  <c r="I40" i="5" s="1"/>
  <c r="I41" i="5" s="1"/>
  <c r="J35" i="5"/>
  <c r="J40" i="5" s="1"/>
  <c r="J41" i="5" s="1"/>
  <c r="E36" i="5"/>
  <c r="E37" i="5"/>
  <c r="G38" i="5"/>
  <c r="H10" i="11"/>
  <c r="I10" i="11"/>
  <c r="J10" i="11"/>
  <c r="F11" i="11"/>
  <c r="F10" i="11" s="1"/>
  <c r="H15" i="11"/>
  <c r="I15" i="11"/>
  <c r="J15" i="11"/>
  <c r="F16" i="11"/>
  <c r="H16" i="11"/>
  <c r="I16" i="11"/>
  <c r="J16" i="11"/>
  <c r="F18" i="11"/>
  <c r="H18" i="11"/>
  <c r="I18" i="11"/>
  <c r="J18" i="11"/>
  <c r="E21" i="11"/>
  <c r="F23" i="11"/>
  <c r="H23" i="11"/>
  <c r="I23" i="11"/>
  <c r="J23" i="11"/>
  <c r="F25" i="11"/>
  <c r="H25" i="11"/>
  <c r="I25" i="11"/>
  <c r="J25" i="11"/>
  <c r="E26" i="11"/>
  <c r="F28" i="11"/>
  <c r="G28" i="11"/>
  <c r="H28" i="11"/>
  <c r="I28" i="11"/>
  <c r="J28" i="11"/>
  <c r="E29" i="11"/>
  <c r="E28" i="11" s="1"/>
  <c r="F35" i="11"/>
  <c r="G35" i="11"/>
  <c r="G33" i="11" s="1"/>
  <c r="H35" i="11"/>
  <c r="I35" i="11"/>
  <c r="I33" i="11" s="1"/>
  <c r="J35" i="11"/>
  <c r="F36" i="11"/>
  <c r="F33" i="11" s="1"/>
  <c r="G36" i="11"/>
  <c r="H36" i="11"/>
  <c r="I36" i="11"/>
  <c r="J36" i="11"/>
  <c r="J33" i="11" s="1"/>
  <c r="F39" i="11"/>
  <c r="H39" i="11"/>
  <c r="I39" i="11"/>
  <c r="J39" i="11"/>
  <c r="F41" i="11"/>
  <c r="H41" i="11"/>
  <c r="H38" i="11" s="1"/>
  <c r="I41" i="11"/>
  <c r="J41" i="11"/>
  <c r="J38" i="11" s="1"/>
  <c r="F43" i="11"/>
  <c r="G43" i="11"/>
  <c r="H43" i="11"/>
  <c r="I43" i="11"/>
  <c r="J43" i="11"/>
  <c r="E44" i="11"/>
  <c r="E45" i="11"/>
  <c r="F46" i="11"/>
  <c r="H46" i="11"/>
  <c r="I46" i="11"/>
  <c r="J46" i="11"/>
  <c r="G47" i="11"/>
  <c r="G46" i="11" s="1"/>
  <c r="G48" i="11"/>
  <c r="G41" i="11"/>
  <c r="F49" i="11"/>
  <c r="G49" i="11"/>
  <c r="H49" i="11"/>
  <c r="I49" i="11"/>
  <c r="J49" i="11"/>
  <c r="E50" i="11"/>
  <c r="E49" i="11" s="1"/>
  <c r="E51" i="11"/>
  <c r="F56" i="11"/>
  <c r="G56" i="11"/>
  <c r="H56" i="11"/>
  <c r="I56" i="11"/>
  <c r="J56" i="11"/>
  <c r="F57" i="11"/>
  <c r="G57" i="11"/>
  <c r="H57" i="11"/>
  <c r="I57" i="11"/>
  <c r="J57" i="11"/>
  <c r="E58" i="11"/>
  <c r="E57" i="11" s="1"/>
  <c r="F60" i="11"/>
  <c r="H60" i="11"/>
  <c r="H55" i="11" s="1"/>
  <c r="H52" i="11" s="1"/>
  <c r="I60" i="11"/>
  <c r="I55" i="11" s="1"/>
  <c r="I52" i="11" s="1"/>
  <c r="J60" i="11"/>
  <c r="J55" i="11" s="1"/>
  <c r="J52" i="11" s="1"/>
  <c r="G61" i="11"/>
  <c r="G60" i="11" s="1"/>
  <c r="F63" i="11"/>
  <c r="G63" i="11"/>
  <c r="H63" i="11"/>
  <c r="I63" i="11"/>
  <c r="J63" i="11"/>
  <c r="E64" i="11"/>
  <c r="E63" i="11" s="1"/>
  <c r="F65" i="11"/>
  <c r="G65" i="11"/>
  <c r="H65" i="11"/>
  <c r="I65" i="11"/>
  <c r="J65" i="11"/>
  <c r="E66" i="11"/>
  <c r="E56" i="11" s="1"/>
  <c r="E67" i="11"/>
  <c r="G68" i="11"/>
  <c r="H68" i="11"/>
  <c r="I68" i="11"/>
  <c r="J68" i="11"/>
  <c r="J72" i="11" s="1"/>
  <c r="F73" i="11"/>
  <c r="G73" i="11"/>
  <c r="H73" i="11"/>
  <c r="I73" i="11"/>
  <c r="J73" i="11"/>
  <c r="G74" i="11"/>
  <c r="H74" i="11"/>
  <c r="I74" i="11"/>
  <c r="J74" i="11"/>
  <c r="F75" i="11"/>
  <c r="F72" i="11" s="1"/>
  <c r="F77" i="11"/>
  <c r="G77" i="11"/>
  <c r="H77" i="11"/>
  <c r="I77" i="11"/>
  <c r="J77" i="11"/>
  <c r="E78" i="11"/>
  <c r="E79" i="11"/>
  <c r="F83" i="11"/>
  <c r="G83" i="11"/>
  <c r="H83" i="11"/>
  <c r="I83" i="11"/>
  <c r="J83" i="11"/>
  <c r="F91" i="11"/>
  <c r="F89" i="11" s="1"/>
  <c r="H91" i="11"/>
  <c r="H89" i="11" s="1"/>
  <c r="I91" i="11"/>
  <c r="I89" i="11" s="1"/>
  <c r="J91" i="11"/>
  <c r="J89" i="11" s="1"/>
  <c r="G92" i="11"/>
  <c r="G91" i="11" s="1"/>
  <c r="G89" i="11" s="1"/>
  <c r="F96" i="11"/>
  <c r="G96" i="11"/>
  <c r="H97" i="11"/>
  <c r="I97" i="11"/>
  <c r="I96" i="11" s="1"/>
  <c r="J97" i="11"/>
  <c r="J96" i="11" s="1"/>
  <c r="G101" i="11"/>
  <c r="H101" i="11"/>
  <c r="I101" i="11"/>
  <c r="J101" i="11"/>
  <c r="F102" i="11"/>
  <c r="F93" i="11" s="1"/>
  <c r="F104" i="11"/>
  <c r="G105" i="11"/>
  <c r="G104" i="11" s="1"/>
  <c r="H105" i="11"/>
  <c r="H104" i="11" s="1"/>
  <c r="I105" i="11"/>
  <c r="J105" i="11"/>
  <c r="J104" i="11" s="1"/>
  <c r="E106" i="11"/>
  <c r="F107" i="11"/>
  <c r="G108" i="11"/>
  <c r="G107" i="11" s="1"/>
  <c r="H108" i="11"/>
  <c r="H107" i="11" s="1"/>
  <c r="I108" i="11"/>
  <c r="I107" i="11" s="1"/>
  <c r="J108" i="11"/>
  <c r="J107" i="11" s="1"/>
  <c r="F109" i="11"/>
  <c r="G110" i="11"/>
  <c r="G109" i="11" s="1"/>
  <c r="H110" i="11"/>
  <c r="H109" i="11" s="1"/>
  <c r="I110" i="11"/>
  <c r="J110" i="11"/>
  <c r="J109" i="11" s="1"/>
  <c r="E111" i="11"/>
  <c r="F118" i="11"/>
  <c r="F116" i="11" s="1"/>
  <c r="H118" i="11"/>
  <c r="H116" i="11" s="1"/>
  <c r="I118" i="11"/>
  <c r="I116" i="11" s="1"/>
  <c r="J118" i="11"/>
  <c r="J116" i="11" s="1"/>
  <c r="G119" i="11"/>
  <c r="G118" i="11" s="1"/>
  <c r="G116" i="11" s="1"/>
  <c r="F123" i="11"/>
  <c r="G123" i="11"/>
  <c r="G122" i="11" s="1"/>
  <c r="H123" i="11"/>
  <c r="H121" i="11" s="1"/>
  <c r="I123" i="11"/>
  <c r="I122" i="11" s="1"/>
  <c r="J123" i="11"/>
  <c r="J122" i="11" s="1"/>
  <c r="E125" i="11"/>
  <c r="E127" i="11"/>
  <c r="H131" i="11"/>
  <c r="I131" i="11"/>
  <c r="J131" i="11"/>
  <c r="F132" i="11"/>
  <c r="G132" i="11"/>
  <c r="H133" i="11"/>
  <c r="I133" i="11"/>
  <c r="J133" i="11"/>
  <c r="F134" i="11"/>
  <c r="F131" i="11" s="1"/>
  <c r="G134" i="11"/>
  <c r="F136" i="11"/>
  <c r="G136" i="11"/>
  <c r="H137" i="11"/>
  <c r="H132" i="11" s="1"/>
  <c r="H128" i="11" s="1"/>
  <c r="I137" i="11"/>
  <c r="I132" i="11" s="1"/>
  <c r="J137" i="11"/>
  <c r="J136" i="11" s="1"/>
  <c r="H143" i="11"/>
  <c r="I143" i="11"/>
  <c r="J143" i="11"/>
  <c r="F146" i="11"/>
  <c r="G147" i="11"/>
  <c r="G146" i="11" s="1"/>
  <c r="H147" i="11"/>
  <c r="H146" i="11" s="1"/>
  <c r="I147" i="11"/>
  <c r="I146" i="11" s="1"/>
  <c r="J147" i="11"/>
  <c r="J146" i="11" s="1"/>
  <c r="E149" i="11"/>
  <c r="F151" i="11"/>
  <c r="F150" i="11" s="1"/>
  <c r="G151" i="11"/>
  <c r="G152" i="11"/>
  <c r="H152" i="11"/>
  <c r="I152" i="11"/>
  <c r="I150" i="11" s="1"/>
  <c r="J152" i="11"/>
  <c r="J150" i="11" s="1"/>
  <c r="G153" i="11"/>
  <c r="G155" i="11" s="1"/>
  <c r="H153" i="11"/>
  <c r="I153" i="11"/>
  <c r="I155" i="11" s="1"/>
  <c r="J153" i="11"/>
  <c r="J155" i="11" s="1"/>
  <c r="G156" i="11"/>
  <c r="H156" i="11"/>
  <c r="I156" i="11"/>
  <c r="J156" i="11"/>
  <c r="F157" i="11"/>
  <c r="E157" i="11" s="1"/>
  <c r="G159" i="11"/>
  <c r="H159" i="11"/>
  <c r="I159" i="11"/>
  <c r="J159" i="11"/>
  <c r="F160" i="11"/>
  <c r="F162" i="11"/>
  <c r="G162" i="11"/>
  <c r="H162" i="11"/>
  <c r="I162" i="11"/>
  <c r="J162" i="11"/>
  <c r="E163" i="11"/>
  <c r="F168" i="11"/>
  <c r="D11" i="8"/>
  <c r="D12" i="8"/>
  <c r="E18" i="8"/>
  <c r="F18" i="8"/>
  <c r="D19" i="8"/>
  <c r="E25" i="8"/>
  <c r="F25" i="8"/>
  <c r="G25" i="8"/>
  <c r="H25" i="8"/>
  <c r="I25" i="8"/>
  <c r="D26" i="8"/>
  <c r="D27" i="8"/>
  <c r="E29" i="8"/>
  <c r="F29" i="8"/>
  <c r="G29" i="8"/>
  <c r="H29" i="8"/>
  <c r="I29" i="8"/>
  <c r="D30" i="8"/>
  <c r="E32" i="8"/>
  <c r="F32" i="8"/>
  <c r="G32" i="8"/>
  <c r="H32" i="8"/>
  <c r="I32" i="8"/>
  <c r="D33" i="8"/>
  <c r="H45" i="12"/>
  <c r="H43" i="12" s="1"/>
  <c r="F51" i="12"/>
  <c r="F52" i="12" s="1"/>
  <c r="J57" i="12"/>
  <c r="I16" i="8" s="1"/>
  <c r="G25" i="5"/>
  <c r="G31" i="5" s="1"/>
  <c r="G32" i="5" s="1"/>
  <c r="G9" i="5"/>
  <c r="E11" i="5"/>
  <c r="E9" i="5" s="1"/>
  <c r="F144" i="11"/>
  <c r="J132" i="11"/>
  <c r="J128" i="11" s="1"/>
  <c r="H96" i="11"/>
  <c r="G34" i="12"/>
  <c r="E35" i="12"/>
  <c r="E34" i="12" s="1"/>
  <c r="E120" i="9"/>
  <c r="E119" i="9" s="1"/>
  <c r="E117" i="9" s="1"/>
  <c r="E76" i="9"/>
  <c r="E75" i="9" s="1"/>
  <c r="E103" i="9"/>
  <c r="E102" i="9" s="1"/>
  <c r="E62" i="9"/>
  <c r="E61" i="9" s="1"/>
  <c r="F153" i="11"/>
  <c r="F167" i="11" s="1"/>
  <c r="G12" i="5"/>
  <c r="G13" i="5" s="1"/>
  <c r="I136" i="11"/>
  <c r="E48" i="11"/>
  <c r="E137" i="9"/>
  <c r="J73" i="9"/>
  <c r="G48" i="12"/>
  <c r="G91" i="9"/>
  <c r="F132" i="9"/>
  <c r="E73" i="11"/>
  <c r="E102" i="11"/>
  <c r="E101" i="11" s="1"/>
  <c r="F16" i="9"/>
  <c r="F14" i="9" s="1"/>
  <c r="E22" i="12"/>
  <c r="E28" i="12" s="1"/>
  <c r="G23" i="11"/>
  <c r="E23" i="11" s="1"/>
  <c r="E147" i="11"/>
  <c r="E146" i="11" s="1"/>
  <c r="G143" i="11"/>
  <c r="E119" i="11"/>
  <c r="F38" i="11"/>
  <c r="G168" i="11"/>
  <c r="F31" i="5"/>
  <c r="F32" i="5" s="1"/>
  <c r="I168" i="11"/>
  <c r="I121" i="11"/>
  <c r="I117" i="11" s="1"/>
  <c r="I38" i="11"/>
  <c r="E118" i="11"/>
  <c r="E116" i="11" s="1"/>
  <c r="J167" i="11"/>
  <c r="H20" i="12"/>
  <c r="H57" i="12"/>
  <c r="G16" i="8" s="1"/>
  <c r="E134" i="11"/>
  <c r="E131" i="11" s="1"/>
  <c r="G51" i="12"/>
  <c r="G52" i="12" s="1"/>
  <c r="H9" i="12"/>
  <c r="F52" i="11"/>
  <c r="F82" i="11" s="1"/>
  <c r="J156" i="9"/>
  <c r="F15" i="11"/>
  <c r="F13" i="11" s="1"/>
  <c r="H166" i="9"/>
  <c r="I147" i="19"/>
  <c r="H19" i="13"/>
  <c r="F48" i="12"/>
  <c r="H73" i="9"/>
  <c r="E25" i="5"/>
  <c r="E31" i="5" s="1"/>
  <c r="E32" i="5" s="1"/>
  <c r="I167" i="11"/>
  <c r="I165" i="11" s="1"/>
  <c r="H17" i="12"/>
  <c r="I72" i="11"/>
  <c r="G147" i="9"/>
  <c r="G169" i="9"/>
  <c r="E148" i="9"/>
  <c r="F75" i="9"/>
  <c r="F69" i="9"/>
  <c r="F73" i="9" s="1"/>
  <c r="F53" i="9"/>
  <c r="F83" i="9" s="1"/>
  <c r="I14" i="9"/>
  <c r="H11" i="17"/>
  <c r="J91" i="9"/>
  <c r="H156" i="9"/>
  <c r="G42" i="9"/>
  <c r="H33" i="11"/>
  <c r="F134" i="9"/>
  <c r="F144" i="9"/>
  <c r="E135" i="9"/>
  <c r="E134" i="9" s="1"/>
  <c r="J129" i="9"/>
  <c r="H113" i="9"/>
  <c r="I86" i="9"/>
  <c r="I96" i="9"/>
  <c r="I91" i="9"/>
  <c r="G40" i="9"/>
  <c r="E40" i="9" s="1"/>
  <c r="G19" i="12"/>
  <c r="E19" i="12" s="1"/>
  <c r="J11" i="17"/>
  <c r="E132" i="9"/>
  <c r="E69" i="9"/>
  <c r="E73" i="9" s="1"/>
  <c r="H24" i="13"/>
  <c r="E34" i="17"/>
  <c r="E12" i="17"/>
  <c r="I66" i="19"/>
  <c r="K15" i="19"/>
  <c r="K12" i="19" s="1"/>
  <c r="F19" i="13"/>
  <c r="J69" i="19"/>
  <c r="E162" i="11"/>
  <c r="K33" i="17"/>
  <c r="K24" i="13" s="1"/>
  <c r="K11" i="17"/>
  <c r="J36" i="20"/>
  <c r="J20" i="13" s="1"/>
  <c r="K36" i="20"/>
  <c r="K20" i="13" s="1"/>
  <c r="E26" i="20"/>
  <c r="I13" i="11"/>
  <c r="I112" i="11"/>
  <c r="J118" i="9"/>
  <c r="J113" i="9"/>
  <c r="J123" i="9"/>
  <c r="I53" i="9"/>
  <c r="E124" i="9"/>
  <c r="G122" i="9"/>
  <c r="E48" i="9"/>
  <c r="E47" i="9" s="1"/>
  <c r="F34" i="9"/>
  <c r="E36" i="9"/>
  <c r="G15" i="11"/>
  <c r="G10" i="11"/>
  <c r="E11" i="11"/>
  <c r="E10" i="11" s="1"/>
  <c r="I21" i="20"/>
  <c r="H136" i="11"/>
  <c r="F143" i="11"/>
  <c r="F141" i="11" s="1"/>
  <c r="G121" i="11"/>
  <c r="G112" i="11" s="1"/>
  <c r="G72" i="11"/>
  <c r="E161" i="9"/>
  <c r="E160" i="9" s="1"/>
  <c r="F160" i="9"/>
  <c r="J42" i="20"/>
  <c r="J40" i="20"/>
  <c r="J39" i="20" s="1"/>
  <c r="G150" i="11"/>
  <c r="I104" i="11"/>
  <c r="F172" i="11"/>
  <c r="E38" i="5"/>
  <c r="G35" i="5"/>
  <c r="F94" i="9"/>
  <c r="F86" i="9" s="1"/>
  <c r="F102" i="9"/>
  <c r="F145" i="9"/>
  <c r="E66" i="9"/>
  <c r="J56" i="12"/>
  <c r="J54" i="12" s="1"/>
  <c r="J45" i="12"/>
  <c r="J43" i="12" s="1"/>
  <c r="J21" i="5"/>
  <c r="J22" i="5" s="1"/>
  <c r="H118" i="9"/>
  <c r="H123" i="9"/>
  <c r="I57" i="12"/>
  <c r="E57" i="12" s="1"/>
  <c r="I20" i="12"/>
  <c r="E20" i="12" s="1"/>
  <c r="I9" i="12"/>
  <c r="E10" i="12"/>
  <c r="E9" i="12" s="1"/>
  <c r="H122" i="11"/>
  <c r="E47" i="11"/>
  <c r="E46" i="11" s="1"/>
  <c r="E41" i="11"/>
  <c r="E93" i="9"/>
  <c r="E92" i="9" s="1"/>
  <c r="E90" i="9" s="1"/>
  <c r="G34" i="20"/>
  <c r="G40" i="5"/>
  <c r="G41" i="5" s="1"/>
  <c r="E9" i="8"/>
  <c r="E23" i="8" s="1"/>
  <c r="G13" i="11"/>
  <c r="G118" i="9"/>
  <c r="G145" i="9" s="1"/>
  <c r="G173" i="9" s="1"/>
  <c r="G123" i="9"/>
  <c r="I15" i="8"/>
  <c r="I14" i="8" s="1"/>
  <c r="F81" i="9"/>
  <c r="F91" i="9"/>
  <c r="E94" i="9"/>
  <c r="E91" i="9" s="1"/>
  <c r="G117" i="11"/>
  <c r="H36" i="20"/>
  <c r="H20" i="13" s="1"/>
  <c r="E43" i="20"/>
  <c r="E47" i="20"/>
  <c r="E22" i="17" l="1"/>
  <c r="F174" i="19"/>
  <c r="I17" i="12"/>
  <c r="F128" i="11"/>
  <c r="E57" i="20"/>
  <c r="G29" i="20"/>
  <c r="H73" i="20"/>
  <c r="H17" i="13" s="1"/>
  <c r="H16" i="13" s="1"/>
  <c r="G36" i="20"/>
  <c r="G20" i="13" s="1"/>
  <c r="E46" i="20"/>
  <c r="E40" i="20" s="1"/>
  <c r="E39" i="20" s="1"/>
  <c r="F142" i="9"/>
  <c r="J83" i="9"/>
  <c r="J81" i="9" s="1"/>
  <c r="H83" i="9"/>
  <c r="D29" i="8"/>
  <c r="J33" i="20"/>
  <c r="J13" i="19"/>
  <c r="G64" i="19"/>
  <c r="H36" i="19"/>
  <c r="H15" i="13" s="1"/>
  <c r="G16" i="19"/>
  <c r="G13" i="19" s="1"/>
  <c r="F16" i="19"/>
  <c r="F13" i="19" s="1"/>
  <c r="I36" i="19"/>
  <c r="I15" i="13" s="1"/>
  <c r="J36" i="19"/>
  <c r="J15" i="13" s="1"/>
  <c r="K25" i="17"/>
  <c r="I33" i="20"/>
  <c r="E42" i="20"/>
  <c r="I21" i="13"/>
  <c r="I25" i="17"/>
  <c r="I24" i="13"/>
  <c r="I23" i="13" s="1"/>
  <c r="E86" i="9"/>
  <c r="F133" i="11"/>
  <c r="E137" i="11"/>
  <c r="E136" i="11" s="1"/>
  <c r="E108" i="11"/>
  <c r="E107" i="11" s="1"/>
  <c r="E105" i="11"/>
  <c r="E104" i="11" s="1"/>
  <c r="F155" i="11"/>
  <c r="F101" i="11"/>
  <c r="E92" i="11"/>
  <c r="E91" i="11" s="1"/>
  <c r="E89" i="11" s="1"/>
  <c r="E61" i="11"/>
  <c r="E60" i="11" s="1"/>
  <c r="F156" i="11"/>
  <c r="D18" i="8"/>
  <c r="E77" i="11"/>
  <c r="H13" i="11"/>
  <c r="E169" i="9"/>
  <c r="J14" i="9"/>
  <c r="E143" i="11"/>
  <c r="D32" i="8"/>
  <c r="K19" i="13"/>
  <c r="I19" i="13"/>
  <c r="E61" i="20"/>
  <c r="E50" i="20"/>
  <c r="J21" i="13"/>
  <c r="E11" i="20"/>
  <c r="F74" i="20"/>
  <c r="F18" i="13" s="1"/>
  <c r="E35" i="20"/>
  <c r="I73" i="20"/>
  <c r="I72" i="20" s="1"/>
  <c r="G73" i="20"/>
  <c r="G17" i="13" s="1"/>
  <c r="H72" i="20"/>
  <c r="G33" i="20"/>
  <c r="E29" i="20"/>
  <c r="K34" i="20"/>
  <c r="K73" i="20" s="1"/>
  <c r="K17" i="13" s="1"/>
  <c r="K16" i="13" s="1"/>
  <c r="E54" i="20"/>
  <c r="E49" i="20"/>
  <c r="H33" i="20"/>
  <c r="F80" i="19"/>
  <c r="E35" i="19"/>
  <c r="E33" i="19" s="1"/>
  <c r="E14" i="13" s="1"/>
  <c r="K15" i="13"/>
  <c r="G15" i="13"/>
  <c r="H112" i="11"/>
  <c r="F122" i="11"/>
  <c r="E123" i="11"/>
  <c r="E122" i="11" s="1"/>
  <c r="I109" i="11"/>
  <c r="I93" i="11"/>
  <c r="E97" i="11"/>
  <c r="E96" i="11" s="1"/>
  <c r="H93" i="11"/>
  <c r="E83" i="11"/>
  <c r="H82" i="11"/>
  <c r="H72" i="11"/>
  <c r="H31" i="5"/>
  <c r="H32" i="5" s="1"/>
  <c r="H43" i="5"/>
  <c r="H44" i="5" s="1"/>
  <c r="E158" i="9"/>
  <c r="F157" i="9"/>
  <c r="F154" i="9"/>
  <c r="G168" i="9"/>
  <c r="G166" i="9" s="1"/>
  <c r="G156" i="9"/>
  <c r="J73" i="20"/>
  <c r="E96" i="9"/>
  <c r="E37" i="8"/>
  <c r="E132" i="11"/>
  <c r="F96" i="9"/>
  <c r="G113" i="9"/>
  <c r="E15" i="11"/>
  <c r="F173" i="9"/>
  <c r="G86" i="9"/>
  <c r="G39" i="11"/>
  <c r="J43" i="5"/>
  <c r="J44" i="5" s="1"/>
  <c r="E16" i="9"/>
  <c r="F56" i="9"/>
  <c r="I83" i="9"/>
  <c r="E35" i="11"/>
  <c r="E133" i="11"/>
  <c r="F9" i="9"/>
  <c r="E78" i="9"/>
  <c r="G93" i="11"/>
  <c r="H168" i="11"/>
  <c r="E110" i="11"/>
  <c r="E109" i="11" s="1"/>
  <c r="I45" i="12"/>
  <c r="E84" i="9"/>
  <c r="E20" i="5"/>
  <c r="E16" i="5" s="1"/>
  <c r="J96" i="9"/>
  <c r="F121" i="11"/>
  <c r="G144" i="9"/>
  <c r="G142" i="9" s="1"/>
  <c r="D25" i="8"/>
  <c r="E160" i="11"/>
  <c r="E159" i="11" s="1"/>
  <c r="F159" i="11"/>
  <c r="H155" i="11"/>
  <c r="H167" i="11"/>
  <c r="H165" i="11" s="1"/>
  <c r="H150" i="11"/>
  <c r="E152" i="11"/>
  <c r="E151" i="11"/>
  <c r="G167" i="11"/>
  <c r="G165" i="11" s="1"/>
  <c r="G133" i="11"/>
  <c r="G131" i="11"/>
  <c r="G128" i="11" s="1"/>
  <c r="J121" i="11"/>
  <c r="G19" i="13"/>
  <c r="F55" i="11"/>
  <c r="J93" i="11"/>
  <c r="E75" i="11"/>
  <c r="E74" i="11" s="1"/>
  <c r="F74" i="11"/>
  <c r="F68" i="11"/>
  <c r="E68" i="11" s="1"/>
  <c r="I12" i="5"/>
  <c r="I13" i="5" s="1"/>
  <c r="I43" i="5"/>
  <c r="I44" i="5" s="1"/>
  <c r="F12" i="5"/>
  <c r="F13" i="5" s="1"/>
  <c r="F43" i="5"/>
  <c r="F44" i="5" s="1"/>
  <c r="I113" i="9"/>
  <c r="I123" i="9"/>
  <c r="I118" i="9"/>
  <c r="I145" i="9" s="1"/>
  <c r="H96" i="9"/>
  <c r="H91" i="9"/>
  <c r="H145" i="9" s="1"/>
  <c r="G56" i="9"/>
  <c r="G53" i="9" s="1"/>
  <c r="E37" i="9"/>
  <c r="G34" i="9"/>
  <c r="E34" i="9" s="1"/>
  <c r="E17" i="9"/>
  <c r="H14" i="9"/>
  <c r="G12" i="12"/>
  <c r="G56" i="12"/>
  <c r="F15" i="8" s="1"/>
  <c r="F14" i="8" s="1"/>
  <c r="E13" i="12"/>
  <c r="E12" i="12" s="1"/>
  <c r="F56" i="12"/>
  <c r="E15" i="8" s="1"/>
  <c r="E14" i="8" s="1"/>
  <c r="E49" i="12"/>
  <c r="G25" i="11"/>
  <c r="E19" i="11"/>
  <c r="E18" i="11" s="1"/>
  <c r="J25" i="13"/>
  <c r="J23" i="13" s="1"/>
  <c r="J25" i="17"/>
  <c r="H25" i="13"/>
  <c r="H23" i="13" s="1"/>
  <c r="H25" i="17"/>
  <c r="F11" i="17"/>
  <c r="F33" i="17"/>
  <c r="H196" i="19"/>
  <c r="H190" i="19" s="1"/>
  <c r="H192" i="19"/>
  <c r="H174" i="19" s="1"/>
  <c r="H172" i="19" s="1"/>
  <c r="E35" i="5"/>
  <c r="E40" i="5" s="1"/>
  <c r="E41" i="5" s="1"/>
  <c r="E42" i="9"/>
  <c r="E147" i="9"/>
  <c r="F129" i="9"/>
  <c r="J19" i="13"/>
  <c r="J48" i="20"/>
  <c r="J22" i="13" s="1"/>
  <c r="I10" i="13"/>
  <c r="F85" i="11"/>
  <c r="F95" i="11"/>
  <c r="F90" i="11"/>
  <c r="E93" i="11"/>
  <c r="F54" i="12"/>
  <c r="E45" i="20"/>
  <c r="F21" i="13"/>
  <c r="H21" i="13"/>
  <c r="E21" i="20"/>
  <c r="H117" i="11"/>
  <c r="I90" i="11"/>
  <c r="I54" i="12"/>
  <c r="E72" i="11"/>
  <c r="J145" i="9"/>
  <c r="G17" i="12"/>
  <c r="G83" i="9"/>
  <c r="G54" i="12"/>
  <c r="J168" i="11"/>
  <c r="I82" i="11"/>
  <c r="I48" i="20"/>
  <c r="I22" i="13" s="1"/>
  <c r="E17" i="12"/>
  <c r="E14" i="9"/>
  <c r="J82" i="11"/>
  <c r="E16" i="11"/>
  <c r="I129" i="9"/>
  <c r="G48" i="20"/>
  <c r="G22" i="13" s="1"/>
  <c r="G123" i="19"/>
  <c r="G79" i="19"/>
  <c r="E158" i="19"/>
  <c r="E156" i="19" s="1"/>
  <c r="G192" i="19"/>
  <c r="G174" i="19" s="1"/>
  <c r="G172" i="19" s="1"/>
  <c r="F150" i="19"/>
  <c r="E39" i="19"/>
  <c r="F176" i="19"/>
  <c r="F173" i="19" s="1"/>
  <c r="F172" i="19" s="1"/>
  <c r="F145" i="19"/>
  <c r="E145" i="19" s="1"/>
  <c r="E198" i="19"/>
  <c r="E27" i="19"/>
  <c r="E26" i="19"/>
  <c r="E129" i="19"/>
  <c r="E73" i="19"/>
  <c r="K64" i="19"/>
  <c r="K63" i="19" s="1"/>
  <c r="G81" i="9"/>
  <c r="G172" i="9"/>
  <c r="G170" i="9" s="1"/>
  <c r="J166" i="9"/>
  <c r="J172" i="9"/>
  <c r="E33" i="11"/>
  <c r="G21" i="5"/>
  <c r="G22" i="5" s="1"/>
  <c r="G43" i="5"/>
  <c r="G44" i="5" s="1"/>
  <c r="E154" i="9"/>
  <c r="E156" i="9" s="1"/>
  <c r="E157" i="9"/>
  <c r="F118" i="9"/>
  <c r="F123" i="9"/>
  <c r="E122" i="9"/>
  <c r="F113" i="9"/>
  <c r="H81" i="9"/>
  <c r="H172" i="9"/>
  <c r="G15" i="8"/>
  <c r="H54" i="12"/>
  <c r="E54" i="12" s="1"/>
  <c r="E56" i="12"/>
  <c r="I18" i="13"/>
  <c r="G16" i="13"/>
  <c r="K23" i="13"/>
  <c r="E53" i="9"/>
  <c r="E56" i="9" s="1"/>
  <c r="E11" i="17"/>
  <c r="G55" i="11"/>
  <c r="E36" i="11"/>
  <c r="I156" i="9"/>
  <c r="E152" i="9"/>
  <c r="E26" i="9"/>
  <c r="E24" i="9"/>
  <c r="E146" i="19"/>
  <c r="F86" i="19"/>
  <c r="E125" i="19"/>
  <c r="G21" i="13"/>
  <c r="E65" i="11"/>
  <c r="E43" i="11"/>
  <c r="E25" i="11"/>
  <c r="J13" i="11"/>
  <c r="E13" i="11" s="1"/>
  <c r="G129" i="9"/>
  <c r="J9" i="12"/>
  <c r="E82" i="19"/>
  <c r="K21" i="13"/>
  <c r="F40" i="20"/>
  <c r="F39" i="20" s="1"/>
  <c r="F48" i="20"/>
  <c r="H48" i="20"/>
  <c r="H22" i="13" s="1"/>
  <c r="K48" i="20"/>
  <c r="K22" i="13" s="1"/>
  <c r="E36" i="20"/>
  <c r="E20" i="13" s="1"/>
  <c r="J173" i="9"/>
  <c r="J170" i="9" s="1"/>
  <c r="J142" i="9"/>
  <c r="I171" i="11"/>
  <c r="I80" i="11"/>
  <c r="F80" i="11"/>
  <c r="G14" i="8"/>
  <c r="E12" i="5"/>
  <c r="E13" i="5" s="1"/>
  <c r="H171" i="11"/>
  <c r="H80" i="11"/>
  <c r="J171" i="11"/>
  <c r="J80" i="11"/>
  <c r="I81" i="9"/>
  <c r="E81" i="9" s="1"/>
  <c r="E83" i="9"/>
  <c r="I172" i="9"/>
  <c r="E167" i="11"/>
  <c r="F171" i="11"/>
  <c r="F165" i="11"/>
  <c r="E153" i="11"/>
  <c r="E155" i="11" s="1"/>
  <c r="E156" i="11"/>
  <c r="I128" i="11"/>
  <c r="E128" i="11" s="1"/>
  <c r="I144" i="11"/>
  <c r="G52" i="11"/>
  <c r="G82" i="11"/>
  <c r="H16" i="8"/>
  <c r="H14" i="8" s="1"/>
  <c r="H129" i="9"/>
  <c r="E129" i="9" s="1"/>
  <c r="E25" i="13"/>
  <c r="F81" i="19"/>
  <c r="I175" i="19"/>
  <c r="G190" i="19"/>
  <c r="E224" i="19"/>
  <c r="G33" i="17"/>
  <c r="K123" i="19"/>
  <c r="I123" i="19"/>
  <c r="J123" i="19"/>
  <c r="F34" i="20"/>
  <c r="G63" i="19"/>
  <c r="I192" i="19"/>
  <c r="I174" i="19" s="1"/>
  <c r="I264" i="19" s="1"/>
  <c r="F25" i="19"/>
  <c r="F190" i="19"/>
  <c r="E222" i="19"/>
  <c r="E221" i="19" s="1"/>
  <c r="E114" i="19"/>
  <c r="F153" i="19"/>
  <c r="K175" i="19"/>
  <c r="F147" i="19"/>
  <c r="G81" i="19"/>
  <c r="E184" i="19"/>
  <c r="E187" i="19"/>
  <c r="E117" i="19"/>
  <c r="E126" i="19"/>
  <c r="E227" i="19"/>
  <c r="E132" i="19"/>
  <c r="H30" i="19"/>
  <c r="H12" i="13" s="1"/>
  <c r="G25" i="19"/>
  <c r="J175" i="19"/>
  <c r="E193" i="19"/>
  <c r="E42" i="19"/>
  <c r="E18" i="19"/>
  <c r="G30" i="19"/>
  <c r="G12" i="13" s="1"/>
  <c r="K69" i="19"/>
  <c r="K25" i="19"/>
  <c r="H15" i="19"/>
  <c r="H12" i="19" s="1"/>
  <c r="H263" i="19" s="1"/>
  <c r="I72" i="19"/>
  <c r="E141" i="19"/>
  <c r="E15" i="13" s="1"/>
  <c r="I190" i="19"/>
  <c r="E191" i="19"/>
  <c r="K80" i="19"/>
  <c r="K264" i="19" s="1"/>
  <c r="J30" i="19"/>
  <c r="J12" i="13" s="1"/>
  <c r="E32" i="19"/>
  <c r="E74" i="19"/>
  <c r="I64" i="19"/>
  <c r="I63" i="19" s="1"/>
  <c r="H175" i="19"/>
  <c r="E177" i="19"/>
  <c r="E31" i="19"/>
  <c r="G175" i="19"/>
  <c r="J17" i="19"/>
  <c r="G66" i="19"/>
  <c r="E179" i="19"/>
  <c r="E178" i="19" s="1"/>
  <c r="E13" i="13"/>
  <c r="E147" i="19"/>
  <c r="E150" i="19"/>
  <c r="J79" i="19"/>
  <c r="E83" i="19"/>
  <c r="J80" i="19"/>
  <c r="E153" i="19"/>
  <c r="K190" i="19"/>
  <c r="H72" i="19"/>
  <c r="E37" i="19"/>
  <c r="E38" i="19"/>
  <c r="F63" i="19"/>
  <c r="E139" i="19"/>
  <c r="F138" i="19"/>
  <c r="E47" i="19"/>
  <c r="E45" i="19" s="1"/>
  <c r="G45" i="19"/>
  <c r="H17" i="19"/>
  <c r="G80" i="19"/>
  <c r="J64" i="19"/>
  <c r="J63" i="19" s="1"/>
  <c r="J11" i="13" s="1"/>
  <c r="J72" i="19"/>
  <c r="I12" i="13"/>
  <c r="H25" i="19"/>
  <c r="G72" i="19"/>
  <c r="E19" i="19"/>
  <c r="E124" i="19"/>
  <c r="K17" i="19"/>
  <c r="K10" i="13" s="1"/>
  <c r="J15" i="19"/>
  <c r="J12" i="19" s="1"/>
  <c r="J263" i="19" s="1"/>
  <c r="K192" i="19"/>
  <c r="K174" i="19" s="1"/>
  <c r="F184" i="19"/>
  <c r="K79" i="19"/>
  <c r="E182" i="19"/>
  <c r="E181" i="19" s="1"/>
  <c r="F181" i="19"/>
  <c r="F15" i="19"/>
  <c r="F17" i="19"/>
  <c r="J192" i="19"/>
  <c r="J174" i="19" s="1"/>
  <c r="J196" i="19"/>
  <c r="G15" i="19"/>
  <c r="G12" i="19" s="1"/>
  <c r="G263" i="19" s="1"/>
  <c r="G17" i="19"/>
  <c r="G10" i="13" s="1"/>
  <c r="H65" i="19"/>
  <c r="H264" i="19" s="1"/>
  <c r="E68" i="19"/>
  <c r="E66" i="19" s="1"/>
  <c r="H66" i="19"/>
  <c r="D15" i="8" l="1"/>
  <c r="G264" i="19"/>
  <c r="F264" i="19"/>
  <c r="J264" i="19"/>
  <c r="K263" i="19"/>
  <c r="E196" i="19"/>
  <c r="G72" i="20"/>
  <c r="E74" i="20"/>
  <c r="E18" i="13"/>
  <c r="F175" i="19"/>
  <c r="E13" i="19"/>
  <c r="I11" i="13"/>
  <c r="E19" i="13"/>
  <c r="I17" i="13"/>
  <c r="I16" i="13" s="1"/>
  <c r="K33" i="20"/>
  <c r="K72" i="20"/>
  <c r="E150" i="11"/>
  <c r="H10" i="13"/>
  <c r="K11" i="13"/>
  <c r="J10" i="13"/>
  <c r="F10" i="13"/>
  <c r="F11" i="13"/>
  <c r="G11" i="13"/>
  <c r="H142" i="9"/>
  <c r="H173" i="9"/>
  <c r="I173" i="9"/>
  <c r="I142" i="9"/>
  <c r="E21" i="5"/>
  <c r="E22" i="5" s="1"/>
  <c r="E43" i="5"/>
  <c r="E44" i="5" s="1"/>
  <c r="F25" i="17"/>
  <c r="F24" i="13"/>
  <c r="F23" i="13" s="1"/>
  <c r="E51" i="12"/>
  <c r="E52" i="12" s="1"/>
  <c r="E48" i="12"/>
  <c r="J85" i="11"/>
  <c r="J90" i="11"/>
  <c r="J95" i="11"/>
  <c r="J117" i="11"/>
  <c r="J112" i="11"/>
  <c r="G90" i="11"/>
  <c r="G144" i="11" s="1"/>
  <c r="G85" i="11"/>
  <c r="G95" i="11"/>
  <c r="E39" i="11"/>
  <c r="E38" i="11" s="1"/>
  <c r="G38" i="11"/>
  <c r="J17" i="13"/>
  <c r="J16" i="13" s="1"/>
  <c r="J72" i="20"/>
  <c r="E145" i="9"/>
  <c r="F117" i="11"/>
  <c r="F112" i="11"/>
  <c r="I43" i="12"/>
  <c r="E43" i="12" s="1"/>
  <c r="E45" i="12"/>
  <c r="F156" i="9"/>
  <c r="F168" i="9"/>
  <c r="H90" i="11"/>
  <c r="H144" i="11" s="1"/>
  <c r="H85" i="11"/>
  <c r="H95" i="11"/>
  <c r="I95" i="11"/>
  <c r="I85" i="11"/>
  <c r="E144" i="9"/>
  <c r="E121" i="11"/>
  <c r="J165" i="11"/>
  <c r="E168" i="11"/>
  <c r="E165" i="11" s="1"/>
  <c r="E21" i="13"/>
  <c r="E95" i="11"/>
  <c r="E90" i="11"/>
  <c r="E85" i="11"/>
  <c r="G8" i="13"/>
  <c r="I78" i="19"/>
  <c r="K172" i="19"/>
  <c r="E72" i="19"/>
  <c r="F79" i="19"/>
  <c r="F78" i="19" s="1"/>
  <c r="G14" i="19"/>
  <c r="E176" i="19"/>
  <c r="E173" i="19" s="1"/>
  <c r="E123" i="19"/>
  <c r="I172" i="19"/>
  <c r="F144" i="19"/>
  <c r="E144" i="19" s="1"/>
  <c r="H8" i="13"/>
  <c r="E25" i="19"/>
  <c r="K11" i="19"/>
  <c r="K14" i="19"/>
  <c r="E80" i="19"/>
  <c r="E17" i="19"/>
  <c r="E10" i="13" s="1"/>
  <c r="E81" i="19"/>
  <c r="F22" i="13"/>
  <c r="E48" i="20"/>
  <c r="E22" i="13" s="1"/>
  <c r="F84" i="19"/>
  <c r="F15" i="13" s="1"/>
  <c r="E86" i="19"/>
  <c r="E84" i="19" s="1"/>
  <c r="E113" i="9"/>
  <c r="E123" i="9"/>
  <c r="E118" i="9"/>
  <c r="E192" i="19"/>
  <c r="E174" i="19" s="1"/>
  <c r="F33" i="20"/>
  <c r="F73" i="20"/>
  <c r="E34" i="20"/>
  <c r="E33" i="20" s="1"/>
  <c r="G25" i="17"/>
  <c r="E25" i="17" s="1"/>
  <c r="G24" i="13"/>
  <c r="E33" i="17"/>
  <c r="D14" i="8"/>
  <c r="H8" i="8"/>
  <c r="H170" i="9"/>
  <c r="E173" i="9"/>
  <c r="G80" i="11"/>
  <c r="G171" i="11"/>
  <c r="E171" i="11" s="1"/>
  <c r="I172" i="11"/>
  <c r="I169" i="11" s="1"/>
  <c r="I141" i="11"/>
  <c r="F169" i="11"/>
  <c r="E8" i="8"/>
  <c r="I170" i="9"/>
  <c r="I8" i="8"/>
  <c r="G8" i="8"/>
  <c r="D16" i="8"/>
  <c r="E82" i="11"/>
  <c r="E80" i="11" s="1"/>
  <c r="F9" i="13"/>
  <c r="G78" i="19"/>
  <c r="K78" i="19"/>
  <c r="K9" i="13"/>
  <c r="G9" i="13"/>
  <c r="G29" i="13" s="1"/>
  <c r="I9" i="13"/>
  <c r="I29" i="13" s="1"/>
  <c r="E175" i="19"/>
  <c r="J78" i="19"/>
  <c r="E30" i="19"/>
  <c r="E12" i="13" s="1"/>
  <c r="E36" i="19"/>
  <c r="I12" i="19"/>
  <c r="I263" i="19" s="1"/>
  <c r="H9" i="13"/>
  <c r="H29" i="13" s="1"/>
  <c r="H11" i="19"/>
  <c r="E138" i="19"/>
  <c r="G11" i="19"/>
  <c r="E65" i="19"/>
  <c r="H63" i="19"/>
  <c r="H11" i="13" s="1"/>
  <c r="J190" i="19"/>
  <c r="E190" i="19" s="1"/>
  <c r="F12" i="19"/>
  <c r="F263" i="19" s="1"/>
  <c r="F14" i="19"/>
  <c r="E15" i="19"/>
  <c r="J14" i="19"/>
  <c r="E64" i="19"/>
  <c r="E16" i="19"/>
  <c r="H14" i="19"/>
  <c r="K8" i="13"/>
  <c r="K28" i="13" s="1"/>
  <c r="E172" i="19" l="1"/>
  <c r="G28" i="13"/>
  <c r="E12" i="19"/>
  <c r="E11" i="19" s="1"/>
  <c r="E11" i="13"/>
  <c r="H141" i="11"/>
  <c r="H172" i="11"/>
  <c r="E117" i="11"/>
  <c r="E112" i="11"/>
  <c r="E142" i="9"/>
  <c r="G141" i="11"/>
  <c r="G172" i="11"/>
  <c r="F9" i="8" s="1"/>
  <c r="F23" i="8" s="1"/>
  <c r="F37" i="8" s="1"/>
  <c r="J144" i="11"/>
  <c r="F172" i="9"/>
  <c r="F166" i="9"/>
  <c r="E168" i="9"/>
  <c r="E166" i="9" s="1"/>
  <c r="E63" i="19"/>
  <c r="E79" i="19"/>
  <c r="E78" i="19" s="1"/>
  <c r="G261" i="19"/>
  <c r="G7" i="13"/>
  <c r="E14" i="19"/>
  <c r="I22" i="8"/>
  <c r="I36" i="8" s="1"/>
  <c r="E22" i="8"/>
  <c r="E36" i="8"/>
  <c r="E7" i="8"/>
  <c r="F8" i="8"/>
  <c r="D8" i="8" s="1"/>
  <c r="G169" i="11"/>
  <c r="G23" i="13"/>
  <c r="E23" i="13" s="1"/>
  <c r="E24" i="13"/>
  <c r="G22" i="8"/>
  <c r="G36" i="8" s="1"/>
  <c r="H9" i="8"/>
  <c r="H7" i="8" s="1"/>
  <c r="H21" i="8" s="1"/>
  <c r="H22" i="8"/>
  <c r="H36" i="8" s="1"/>
  <c r="F17" i="13"/>
  <c r="E17" i="13" s="1"/>
  <c r="F72" i="20"/>
  <c r="E72" i="20" s="1"/>
  <c r="E73" i="20"/>
  <c r="K261" i="19"/>
  <c r="I11" i="19"/>
  <c r="J11" i="19"/>
  <c r="H261" i="19"/>
  <c r="F11" i="19"/>
  <c r="J172" i="19"/>
  <c r="J9" i="13"/>
  <c r="J29" i="13" s="1"/>
  <c r="F29" i="13"/>
  <c r="H28" i="13"/>
  <c r="H27" i="13" s="1"/>
  <c r="H7" i="13"/>
  <c r="K29" i="13"/>
  <c r="K27" i="13" s="1"/>
  <c r="K7" i="13"/>
  <c r="E263" i="19" l="1"/>
  <c r="F170" i="9"/>
  <c r="E172" i="9"/>
  <c r="E170" i="9" s="1"/>
  <c r="G9" i="8"/>
  <c r="H169" i="11"/>
  <c r="J141" i="11"/>
  <c r="J172" i="11"/>
  <c r="E144" i="11"/>
  <c r="E141" i="11" s="1"/>
  <c r="G27" i="13"/>
  <c r="F16" i="13"/>
  <c r="E16" i="13"/>
  <c r="H23" i="8"/>
  <c r="E35" i="8"/>
  <c r="F22" i="8"/>
  <c r="F36" i="8" s="1"/>
  <c r="F35" i="8" s="1"/>
  <c r="F7" i="8"/>
  <c r="F21" i="8" s="1"/>
  <c r="E21" i="8"/>
  <c r="I8" i="13"/>
  <c r="I261" i="19"/>
  <c r="E9" i="13"/>
  <c r="F8" i="13"/>
  <c r="F261" i="19"/>
  <c r="E264" i="19"/>
  <c r="J8" i="13"/>
  <c r="J261" i="19"/>
  <c r="E29" i="13"/>
  <c r="D22" i="8" l="1"/>
  <c r="I9" i="8"/>
  <c r="J169" i="11"/>
  <c r="E172" i="11"/>
  <c r="E169" i="11" s="1"/>
  <c r="G23" i="8"/>
  <c r="G37" i="8" s="1"/>
  <c r="G35" i="8" s="1"/>
  <c r="G7" i="8"/>
  <c r="H37" i="8"/>
  <c r="D36" i="8"/>
  <c r="I28" i="13"/>
  <c r="I27" i="13" s="1"/>
  <c r="I7" i="13"/>
  <c r="J28" i="13"/>
  <c r="J27" i="13" s="1"/>
  <c r="J7" i="13"/>
  <c r="F7" i="13"/>
  <c r="E8" i="13"/>
  <c r="F28" i="13"/>
  <c r="E261" i="19"/>
  <c r="G21" i="8" l="1"/>
  <c r="I23" i="8"/>
  <c r="I7" i="8"/>
  <c r="I21" i="8" s="1"/>
  <c r="D9" i="8"/>
  <c r="H35" i="8"/>
  <c r="E28" i="13"/>
  <c r="E27" i="13" s="1"/>
  <c r="F27" i="13"/>
  <c r="E7" i="13"/>
  <c r="D21" i="8" l="1"/>
  <c r="D7" i="8"/>
  <c r="I37" i="8"/>
  <c r="D23" i="8"/>
  <c r="I35" i="8" l="1"/>
  <c r="D35" i="8" s="1"/>
  <c r="D37" i="8"/>
</calcChain>
</file>

<file path=xl/sharedStrings.xml><?xml version="1.0" encoding="utf-8"?>
<sst xmlns="http://schemas.openxmlformats.org/spreadsheetml/2006/main" count="2074" uniqueCount="571">
  <si>
    <t>Объемы и источники финансирования (тыс. руб.)</t>
  </si>
  <si>
    <t>Всего</t>
  </si>
  <si>
    <t>2014 год</t>
  </si>
  <si>
    <t>2015 год</t>
  </si>
  <si>
    <t>Наименование</t>
  </si>
  <si>
    <t>МБ</t>
  </si>
  <si>
    <t>ОБ</t>
  </si>
  <si>
    <t>В тыс. руб.</t>
  </si>
  <si>
    <t>Срок выполнения</t>
  </si>
  <si>
    <t>Источники финансирования</t>
  </si>
  <si>
    <t>1.1.</t>
  </si>
  <si>
    <t>Всего:</t>
  </si>
  <si>
    <t xml:space="preserve">В т.ч.: </t>
  </si>
  <si>
    <t>Всего по подпрограмме</t>
  </si>
  <si>
    <t>Исполнители, перечень организаций, участвующих в реализации основных мероприятий</t>
  </si>
  <si>
    <t>Цель, задачи, основные мероприятия</t>
  </si>
  <si>
    <t>№  п/п</t>
  </si>
  <si>
    <t>Показатели (индикаторы) результативности выполнения основных мероприятий</t>
  </si>
  <si>
    <t>Цель подпрограммы: Создание условий для успешного развития потенциала и интеграции молодежи в экономическую, культурную и общественно-политическую жизнь ЗАТО Видяево</t>
  </si>
  <si>
    <t>1.1</t>
  </si>
  <si>
    <t>Цель подпрограммы: Организация и обеспечение круглогодичного отдыха, оздоровления и занятости детей и молодежи ЗАТО Видяево, в том числе находящихся в трудной жизненной ситуации</t>
  </si>
  <si>
    <t>Задача 1. Совершенствование и развитие системы отдыха и оздоровления детей муниципального образования ЗАТО Видяево в лагерях с дневным  пребыванием и на площадках временного пребывания детей в каникулярный период</t>
  </si>
  <si>
    <t>1.2</t>
  </si>
  <si>
    <t>Всего по задаче 1</t>
  </si>
  <si>
    <t>2.</t>
  </si>
  <si>
    <t>Задача 2. Обеспечение отдыхом и оздоровлением детей дошкольного возраста на базе дежурного дошкольного учреждения в летний каникулярный период</t>
  </si>
  <si>
    <t>2.1.</t>
  </si>
  <si>
    <t>Реализация программы оздоровительных мероприятий  на базе дежурного детского сада</t>
  </si>
  <si>
    <t>3.</t>
  </si>
  <si>
    <t>Задача 3 . Обеспечение отдыхом и оздоровлением обучающихся ЗАТО Видяево  в возрасте от 6 до 18 лет во всех видах и типах лагерей</t>
  </si>
  <si>
    <t>3.1.</t>
  </si>
  <si>
    <t>3.2</t>
  </si>
  <si>
    <t>Оздоровление детей в санаторно-оздоровительных учреждениях, расположенных за пределами Мурманской области</t>
  </si>
  <si>
    <t>Всего по задаче 3</t>
  </si>
  <si>
    <t>4.</t>
  </si>
  <si>
    <t>Задача  4.  Оказание содействия несовершеннолетним в их трудоустройстве в каникулярное (в том числе летнее) время</t>
  </si>
  <si>
    <t>4.1.</t>
  </si>
  <si>
    <t>Организация временной занятости подростков в летнее и свободное от учебы время</t>
  </si>
  <si>
    <t>5.</t>
  </si>
  <si>
    <t>5.1.</t>
  </si>
  <si>
    <t>Задача 2. Уменьшение  числа нарушений правил дорожного движения и ДТП, произошедших по вине несовершеннолетних</t>
  </si>
  <si>
    <t>2.2</t>
  </si>
  <si>
    <t>2014-2016</t>
  </si>
  <si>
    <t>Всего по задаче 2</t>
  </si>
  <si>
    <t>Цель подпрограммы: повышение доступности качественного образования для всех категорий обучающихся</t>
  </si>
  <si>
    <t>Капитальный (текущий) ремонт зданий ОУ</t>
  </si>
  <si>
    <t>Выявление и поддержка талантливых детей.</t>
  </si>
  <si>
    <t xml:space="preserve">Содействие  повышению профессионального мастерства, распространению  положительного педагогического  опыта.  </t>
  </si>
  <si>
    <t>Всего по задаче 4</t>
  </si>
  <si>
    <t>Всего по задаче 5</t>
  </si>
  <si>
    <t>Доля обучающихся, успешно освоивших  в полном объеме образовательную программу учебного года и переведенных в следующий класс.</t>
  </si>
  <si>
    <t>МБОУ СОШ ЗАТО Видяево</t>
  </si>
  <si>
    <t>Модернизация</t>
  </si>
  <si>
    <t>Молодежь</t>
  </si>
  <si>
    <t>Всего по годам</t>
  </si>
  <si>
    <t>Отдых</t>
  </si>
  <si>
    <t>Профилактика безнадзорности</t>
  </si>
  <si>
    <t>2016 год</t>
  </si>
  <si>
    <t>Предоставление услуг (работ) в сфере дошкольного образования</t>
  </si>
  <si>
    <t>Предоставление услуг (работ) в сфере общего образования</t>
  </si>
  <si>
    <t>Предоставление услуг (работ) в сфере дополнительного образования</t>
  </si>
  <si>
    <t>Субвенции бюджетам муниципальных образований на реализацию Закона Мурманской области "О мерах социальной поддержки инвалидов" в части финансирования расходов по обеспечению воспитания и обучения детей-инвалидов на дому и в дошкольных учреждениях</t>
  </si>
  <si>
    <t>Субвенции бюджетам муниципальных образований на реализацию Закона Мурманской области "О региональных нормативах финансирования системы образования Мурманской области"</t>
  </si>
  <si>
    <t xml:space="preserve">МБУ УМС (СЗ) ЗАТО Видяево
</t>
  </si>
  <si>
    <t>4.2.</t>
  </si>
  <si>
    <t>Компенсация родительской платы за присмотр и уход за детьми, посещающими образовательные организации реализующие общеобразовательные программы дошкольного образования</t>
  </si>
  <si>
    <t>Расходы связанные с выплатой родительской платы за присмотр и уход за детьми, посещающими образовательные организации реализующие общеобразовательные программы дошкольного образования</t>
  </si>
  <si>
    <t>Реализация мер социальной поддержки отдельных категорий граждан,работающих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</si>
  <si>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Укрепление материально-технической базы школьных столовых, их техническое оснащение оборудованием и инвентарем</t>
  </si>
  <si>
    <t>Обеспечение санитарно-эпидемиологического благополучия</t>
  </si>
  <si>
    <t>Обеспечение  горячим бесплатным  питанием отдельных категорий обучающихся</t>
  </si>
  <si>
    <t>Обеспечение бесплатным цельным молоком, либо питьевым молоком обучающихся 1-4 классов (общеобразовательных учреждений, муниципальных образовательных учреждений для детей дошкольного и младшего школьного возраста</t>
  </si>
  <si>
    <t>1.</t>
  </si>
  <si>
    <t>Задача 1. Создание условий для развития гражданских инициатив</t>
  </si>
  <si>
    <t>МБУК  ОУБ ЗАТО Видяево</t>
  </si>
  <si>
    <t xml:space="preserve">В т.ч. МБ: </t>
  </si>
  <si>
    <t>Задача 2.  Работа направленная на увеличение доли молодых людей, участвующих в мероприятиях, направленных на воспитание гражданственности и патриотизма</t>
  </si>
  <si>
    <t>Задача 3.  Развитие творческого и интеллектуального потенциала  детей и молодежи</t>
  </si>
  <si>
    <t>Задача 4.  Содействие развитию социальной активности и компетенции молодых людей</t>
  </si>
  <si>
    <t>Задача 1. Реализация мер по проведению капитального  (текущего) ремонтов социальной, инженерной и жилищно-коммунальныой инфраструктуры</t>
  </si>
  <si>
    <t>Задача 2. Реализация мероприятий по выявлению и поддержки талантливых детей</t>
  </si>
  <si>
    <t xml:space="preserve">Задача 3.Реализация мероприятий по повышению профессионального мастерства и педагогического  опыта.  </t>
  </si>
  <si>
    <t>4.1.1.</t>
  </si>
  <si>
    <t>Мероприятия по комплексу мер модернизации дошкольного образования</t>
  </si>
  <si>
    <t>Приобретение современного оборудования</t>
  </si>
  <si>
    <t>4.1.2.</t>
  </si>
  <si>
    <t>Повышение квалификации педагогического персонала</t>
  </si>
  <si>
    <t>4.2.1.</t>
  </si>
  <si>
    <t>4.2.2.</t>
  </si>
  <si>
    <t>Мероприятия по комплексу мер модернизации общего образования</t>
  </si>
  <si>
    <t>4.3.</t>
  </si>
  <si>
    <t>4.3.1.</t>
  </si>
  <si>
    <t>Мероприятия по комплексу мер модернизации дополнительного образования</t>
  </si>
  <si>
    <t>Задача 5. Развитие системы образования через качественное выполнение муниципальных услуг</t>
  </si>
  <si>
    <t>5.1.1.</t>
  </si>
  <si>
    <t>5.1.2.</t>
  </si>
  <si>
    <t>5.2.1.</t>
  </si>
  <si>
    <t>5.2.2.</t>
  </si>
  <si>
    <t>5.3.1.</t>
  </si>
  <si>
    <t>МБДОУ№1 ЗАТО Видяево, МБДОУ№2 ЗАТО Видяево</t>
  </si>
  <si>
    <t>Предоставление субсидий на услуги дошкольного образования</t>
  </si>
  <si>
    <t>5.1.2.1.</t>
  </si>
  <si>
    <t>5.1.2.2.</t>
  </si>
  <si>
    <t>Реализация мер социальной поддержки отдельных категорий граждан,работающих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 (прочий персонал)</t>
  </si>
  <si>
    <t>5.1.2.3.</t>
  </si>
  <si>
    <t>5.1.2.4.</t>
  </si>
  <si>
    <t>5.1.2.5.</t>
  </si>
  <si>
    <t>5.2.</t>
  </si>
  <si>
    <t>Предоставление субсидий на услуги общего образования</t>
  </si>
  <si>
    <t>Расходы на оказание услуг дошкольного образования</t>
  </si>
  <si>
    <t>Расходы на оказание услуг общего образования</t>
  </si>
  <si>
    <t>5.2.2.2.</t>
  </si>
  <si>
    <t>5.2.2.1.</t>
  </si>
  <si>
    <t>5.3.</t>
  </si>
  <si>
    <t>Расходы на услуги  дополнительного образования</t>
  </si>
  <si>
    <t>5.3.2.</t>
  </si>
  <si>
    <t>6.</t>
  </si>
  <si>
    <t>Задача 6. Совершенствования организации питания школьников</t>
  </si>
  <si>
    <t>6.1.</t>
  </si>
  <si>
    <t>6.2.</t>
  </si>
  <si>
    <t>6.3.</t>
  </si>
  <si>
    <t>6.3.1.</t>
  </si>
  <si>
    <t>6.3.2.</t>
  </si>
  <si>
    <t>6.3.3.</t>
  </si>
  <si>
    <t>Всего по задаче 6</t>
  </si>
  <si>
    <t>Организация отдыха детей Мурманской области в оздоровительных лагерях с дневным пребыванием, организованных на базе муниципальных учреждений</t>
  </si>
  <si>
    <t>Организация  лагерей с дневным временным пребыванием  детей на территории  ЗАТО Видяево</t>
  </si>
  <si>
    <t xml:space="preserve">МБОУ СОШ  ЗАТО Видяево </t>
  </si>
  <si>
    <t>Оздоровление детей в санаторно-оздоровительных учреждениях, расположенных на территории Мурманской области (Бесплатные путевки Министерства образования и науки Мурманской области)</t>
  </si>
  <si>
    <t>МБДОУ№1 ЗАТО Видяево</t>
  </si>
  <si>
    <t>МБДОУ№2 ЗАТО Видяево</t>
  </si>
  <si>
    <t xml:space="preserve">МБДОУ№2 ЗАТО Видяево
</t>
  </si>
  <si>
    <t xml:space="preserve">МБДОУ№1 ЗАТО Видяево
</t>
  </si>
  <si>
    <t>Мероприятия по организации питания школьников</t>
  </si>
  <si>
    <t>РО всего</t>
  </si>
  <si>
    <t>МКУ «Центр   МИТО» ЗАТО Видяево</t>
  </si>
  <si>
    <t xml:space="preserve">МКУ «Центр МИТО» ЗАТО Видяево
</t>
  </si>
  <si>
    <t>МБОО ДОД «Олимп» ЗАТО Видяево</t>
  </si>
  <si>
    <t>4.1.3.</t>
  </si>
  <si>
    <t>Приобретение основных средств</t>
  </si>
  <si>
    <t>4.2.3.</t>
  </si>
  <si>
    <t>4.3.2.</t>
  </si>
  <si>
    <t>МБОО ДОД «Олимп»</t>
  </si>
  <si>
    <t>3.3</t>
  </si>
  <si>
    <t>МБОО ДОД "Олимп" ЗАТО Видяево</t>
  </si>
  <si>
    <t>Оплата поощрительной путевки на оздоровление и отдых, участнику Всероссийского конкурса детского и юношеского литературно-художественного творчества</t>
  </si>
  <si>
    <t>МБУ УМС (СЗ) ЗАТО Видяево</t>
  </si>
  <si>
    <t xml:space="preserve">Задача 4. Реализация мероприятий по модернизации образования </t>
  </si>
  <si>
    <t>3.4.</t>
  </si>
  <si>
    <t>Оплата проезда ребенку - инвалиду которому, противопоказан организованный отдых на основании индивидуальной путевки по провилю санаторно-курортного лечения</t>
  </si>
  <si>
    <t>Всего по программе Развитие образования на 2014-2016 (Без ВЦП)</t>
  </si>
  <si>
    <t>ВЦП ОТДЕЛ ОКСМП</t>
  </si>
  <si>
    <t>ВЦП МИТО</t>
  </si>
  <si>
    <t>Совершенствование профессионально-кадрового состава работников, задействованных в системе школьного питания</t>
  </si>
  <si>
    <t>ВЦП ЦБО</t>
  </si>
  <si>
    <t>2017 год</t>
  </si>
  <si>
    <t>2018 год</t>
  </si>
  <si>
    <t xml:space="preserve">ПЕРЕЧЕНЬ ОСНОВНЫХ МЕРОПРИЯТИЙ ПОДПРОГРАММЫ 
«Модернизация образования ЗАТО  Видяево» </t>
  </si>
  <si>
    <t xml:space="preserve">ПЕРЕЧЕНЬ ОСНОВНЫХ МЕРОПРИЯТИЙ ПОДПРОГРАММЫ 
«Молодежь  ЗАТО  Видяево»
</t>
  </si>
  <si>
    <t xml:space="preserve">ПЕРЕЧЕНЬ ОСНОВНЫХ МЕРОПРИЯТИЙ ПОДПРОГРАММЫ 
«Отдых, оздоровление и занятость детей и молодежи ЗАТО  Видяево»
</t>
  </si>
  <si>
    <t xml:space="preserve">МБДОУ№1 ЗАТО Видяево,МБДОУ№2 ЗАТО Видяево </t>
  </si>
  <si>
    <t>2014 - 2018</t>
  </si>
  <si>
    <t>2014-2018</t>
  </si>
  <si>
    <t>Исполнители, перечень организаций, участвующих               в реализации основных мероприятий</t>
  </si>
  <si>
    <t>Срок выполне-ния</t>
  </si>
  <si>
    <t>Источни-ки финансирования</t>
  </si>
  <si>
    <t xml:space="preserve">                                           Всего по задаче 1</t>
  </si>
  <si>
    <t>Всего,        в т.ч          МБ</t>
  </si>
  <si>
    <t>Организация и проведение профилактических мероприятий  ( межведомственных операций, акций, обучающих семинаров-тренингов и т.д.)</t>
  </si>
  <si>
    <t>1.1.1</t>
  </si>
  <si>
    <t>Оказание социальной и материальной помощи несовершеннолетним и семьям группы "риска", оказавшимся    в трудной  жизненной ситуации, социально-опасном положении</t>
  </si>
  <si>
    <t xml:space="preserve">       МБОО ДОД «Олимп»     ЗАТО Видяево</t>
  </si>
  <si>
    <t xml:space="preserve">        МБОО ДОД "Олимп"         ЗАТО Видяево</t>
  </si>
  <si>
    <t>Увеличение количества профилактических мероприятий (ед.)</t>
  </si>
  <si>
    <t>Увеличение количества участников, вовлеченных    в мероприятия (чел.)</t>
  </si>
  <si>
    <t xml:space="preserve">     2014-   2018</t>
  </si>
  <si>
    <t xml:space="preserve">      2014 -    2018</t>
  </si>
  <si>
    <t xml:space="preserve">   2014  - 2018</t>
  </si>
  <si>
    <t xml:space="preserve">     2014-     2018</t>
  </si>
  <si>
    <t>Всего        в т.ч          МБ</t>
  </si>
  <si>
    <t xml:space="preserve">Всего,        в т.ч         МБ          </t>
  </si>
  <si>
    <t xml:space="preserve">Всего,          в т.ч          МБ                             </t>
  </si>
  <si>
    <t xml:space="preserve">        МКУ "Центр МИТО"     ЗАТО Видяево</t>
  </si>
  <si>
    <t>Увеличение количества мероприятий по профилактике ДДТТ (ед.)</t>
  </si>
  <si>
    <t>Организация профилактических мероприятий, направленных на профилактику детского дорожно- транспортного  травматизма (ДДДТ)</t>
  </si>
  <si>
    <t>Увеличение количества реализованных проектов (программ) по профилактике ДДТТ (ед.)</t>
  </si>
  <si>
    <t>Увеличение количества мероприятий по правовому просвещению (ед.)</t>
  </si>
  <si>
    <t>Увеличение количества активных участников, вовлеченных                          в мероприятия (чел.)</t>
  </si>
  <si>
    <t>Обеспечение деятельности отряда Юных правозащитников (отряд ЮП)</t>
  </si>
  <si>
    <t>Всего,        в т.ч.          МБ</t>
  </si>
  <si>
    <t>1.2.</t>
  </si>
  <si>
    <t xml:space="preserve">     2015-      2018</t>
  </si>
  <si>
    <t>Задача 1. Реализация комплекса мер ( в том числе правового просвещения), направленных на профилактику безнадзорности, правонарушений несовершеннолетних и в отношении несовершеннолетних, предупреждение жестокого обращения с детьми и подростками.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1.1.  Воспиитание у детей и подростков безопасного поведения в быту и общественном месте</t>
  </si>
  <si>
    <t>Количество несовершеннолетних, их семей, получивших социальную и материальную поддержку  (чел.)</t>
  </si>
  <si>
    <t>Обеспечение  деятельности отряда    Юных Инспекторов Дорожного Движения (ЮИДД)</t>
  </si>
  <si>
    <t>Цель подпрограммы: повышение эффективности деятельности органов местного самоуправления  и муниципальных образовательных учреждений  по профилактике безнадзорности, правонарушений  несовершеннолетних, детского травматизма,   предупреждению жестокого обращения с детьми</t>
  </si>
  <si>
    <t xml:space="preserve">                                       Всего по подпрограмме</t>
  </si>
  <si>
    <t xml:space="preserve">                                       Всего по задаче 2</t>
  </si>
  <si>
    <t>Мероприятия, направленные                   на развитие гражданских инициатив</t>
  </si>
  <si>
    <t>Мероприятия, направленные                               на развитие творческого и интеллектуального потенциала  детей и молодежи</t>
  </si>
  <si>
    <t>Мероприятия, направленные    на увеличение доли молодых людей, участвующих в мероприятиях, направленных на воспитание гражданственности и патриотизма</t>
  </si>
  <si>
    <t>Мероприятия, направленные                на  развитие социальной активности и компетенции молодых людей</t>
  </si>
  <si>
    <t xml:space="preserve">ПЕРЕЧЕНЬ ОСНОВНЫХ МЕРОПРИЯТИЙ ПОДПРОГРАММЫ 
«Профилактика безнадзорности,правонарушений несовершеннолетних и детского травматизма в ЗАТО  Видяево»
</t>
  </si>
  <si>
    <t>Всего по МП Развитие образования на 2014-2018 годы</t>
  </si>
  <si>
    <t>Софинансирование из бюджета ЗАТО Видяево</t>
  </si>
  <si>
    <t>МБДОУ№1 ЗАТО Видяево, МБДОУ№2 ЗАТО Видяево, МБУ "ЦБО" ЗАТО Видяево</t>
  </si>
  <si>
    <t>МБДОУ№1 ЗАТО Видяево, МБДОУ  №2 ЗАТО Видяево</t>
  </si>
  <si>
    <t xml:space="preserve">Всего:       В т.ч.: </t>
  </si>
  <si>
    <t>1301,9</t>
  </si>
  <si>
    <t>821,9</t>
  </si>
  <si>
    <t>300,0</t>
  </si>
  <si>
    <t>60,0</t>
  </si>
  <si>
    <t xml:space="preserve"> МБ</t>
  </si>
  <si>
    <t>0</t>
  </si>
  <si>
    <t xml:space="preserve">                       МБ</t>
  </si>
  <si>
    <t xml:space="preserve">Всего:          В т.ч.: </t>
  </si>
  <si>
    <t>Всего:     в т.ч.</t>
  </si>
  <si>
    <t xml:space="preserve">                        МБ</t>
  </si>
  <si>
    <t xml:space="preserve">                 МБ</t>
  </si>
  <si>
    <t xml:space="preserve">Всего:         В т.ч.: </t>
  </si>
  <si>
    <t>Всего:     В т.ч.</t>
  </si>
  <si>
    <t xml:space="preserve">Всего:        В т.ч. </t>
  </si>
  <si>
    <t>Всего:      В т.ч.</t>
  </si>
  <si>
    <t>Всего:   В т.ч.</t>
  </si>
  <si>
    <t xml:space="preserve">Всего:    В т.ч. </t>
  </si>
  <si>
    <t>МБДОУ № 2 ЗАТО  Видяево</t>
  </si>
  <si>
    <t xml:space="preserve">МБДОУ № 1 ЗАТО  Видяево </t>
  </si>
  <si>
    <t>Всего:         В т.ч. :</t>
  </si>
  <si>
    <t>Всего:       В т.ч.:</t>
  </si>
  <si>
    <t>Доля молодых людей, принявших участие                     в мероприятиях, от планового показателя, %</t>
  </si>
  <si>
    <t>Доля молодых людей, принявших участие                    в мероприятиях, от планового показателя, %</t>
  </si>
  <si>
    <t>Доля молодых людей, принявших участие                   в мероприятиях, от планового показателя, %</t>
  </si>
  <si>
    <t>Доля охвата детей оздоровлением в лагерях с дневным пребыванием, %</t>
  </si>
  <si>
    <t>Доля охвата детей в ТЖС (тяжелой жизненной ситуации), %</t>
  </si>
  <si>
    <t>Проводимые мероприятия, %</t>
  </si>
  <si>
    <t>Выполнение оздоровительной программы, %</t>
  </si>
  <si>
    <t>100</t>
  </si>
  <si>
    <t>Количество оздоровленных детей, кол-во</t>
  </si>
  <si>
    <t xml:space="preserve">Доля оздоровленных детей в ТЖС, % </t>
  </si>
  <si>
    <t>Выполнение программы оздоровления, %</t>
  </si>
  <si>
    <t>20</t>
  </si>
  <si>
    <t>Доля оздоровленных детей, %</t>
  </si>
  <si>
    <t>17</t>
  </si>
  <si>
    <t>70</t>
  </si>
  <si>
    <t>Доля отдохнувших детей, %</t>
  </si>
  <si>
    <t>Отсутствие случаев травматизма, %</t>
  </si>
  <si>
    <t>Количество несовершеннолетних детей временно трудоустроенных, чел.</t>
  </si>
  <si>
    <t xml:space="preserve">Отсутствие случаев травматизма, % </t>
  </si>
  <si>
    <t xml:space="preserve">Принятые по акту плановые ремонтные работы, % </t>
  </si>
  <si>
    <t>Всего:    В т.ч.:</t>
  </si>
  <si>
    <t xml:space="preserve">Доля победителей и призеров от числа участников конкурсов муниципального областного, регионального и всероссийского  уровней, %
</t>
  </si>
  <si>
    <t>1040,0</t>
  </si>
  <si>
    <t>240,0</t>
  </si>
  <si>
    <t>200,0</t>
  </si>
  <si>
    <t>210</t>
  </si>
  <si>
    <t>35</t>
  </si>
  <si>
    <t xml:space="preserve">Доля педагогов, представивших и обобщивших  опыт на разных уровнях от числа планируемых, %
</t>
  </si>
  <si>
    <t>Доля участников конкурсов
профессионального мастерства от числа планируемых, %</t>
  </si>
  <si>
    <t xml:space="preserve">Достижение намеченных показателей по комплексу утвержденных мероприятий, % </t>
  </si>
  <si>
    <t>Всего:         В т.ч:</t>
  </si>
  <si>
    <t>2014- 2018</t>
  </si>
  <si>
    <t xml:space="preserve">Достижение намеченных показателей по комплексу утвержденных мероприятий,% </t>
  </si>
  <si>
    <t>Доля детей в возрасте от 3 – 7 лет от общего числа детей такого возраста, получающих дошкольное образование в детских садах ЗАТО Видяево,%</t>
  </si>
  <si>
    <t>Расходование средств, %</t>
  </si>
  <si>
    <t>Выплаты средств по мерам социальной поддержки, %</t>
  </si>
  <si>
    <t>Всего:      В т.ч.:</t>
  </si>
  <si>
    <t>95</t>
  </si>
  <si>
    <t>Выполнение обязательств по финансированию, %</t>
  </si>
  <si>
    <t>Доля детей в возрасте 5-18 лет от общего числа детей такого возраста в ЗАТО Видяево, охваченная услугами дополнительного образования, %</t>
  </si>
  <si>
    <t>72</t>
  </si>
  <si>
    <t>73</t>
  </si>
  <si>
    <t>5.2.2.3.</t>
  </si>
  <si>
    <t>2014-   2018</t>
  </si>
  <si>
    <t>Выполнение обеспечения молоком, %</t>
  </si>
  <si>
    <t>Доля учащихся получающих горячее питание и молоко, %</t>
  </si>
  <si>
    <t>90</t>
  </si>
  <si>
    <t>77</t>
  </si>
  <si>
    <t>81</t>
  </si>
  <si>
    <t>83</t>
  </si>
  <si>
    <t>Оснащенность современным оборудованием и инвентарем школьной столовой, %</t>
  </si>
  <si>
    <t>65</t>
  </si>
  <si>
    <t>Доля квалифицированных поваров (5-6 разряда), %</t>
  </si>
  <si>
    <t>75</t>
  </si>
  <si>
    <t>85</t>
  </si>
  <si>
    <t>Обеспеченность моющими и дезинфицирующими средствами школьных столовых, %</t>
  </si>
  <si>
    <t>Обеспеченнность персонала столовой спецодеждой, %</t>
  </si>
  <si>
    <t>Субсидия на обеспечение бесплатным цельным молоком, либо питьевым молоком обучающихся 1-4 классов (общеобразовательных учреждений, муниципальных образовательных учреждений для детей дошкольного и младшего школьного возраста</t>
  </si>
  <si>
    <t>6.1.1.</t>
  </si>
  <si>
    <t>6.1.2.</t>
  </si>
  <si>
    <t>Субсидии  на проведение мероприятий по формированию сети базовых образовательных организаций, в которых созданы условия для инклюзивного образования детей-инвалидов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</si>
  <si>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«Доступная среда» на 2011-2015 годы в рамках подпрограммы «Обеспечение доступности приоритетных объектов и услуг в приоритетных сферах жизнедеятельности инвалидов и других малоимущих групп населения» государственной программы Российской Федерации «Доступная среда» на 2011-2015 годы.</t>
  </si>
  <si>
    <t>Выполнение плановых мероприятий по формированию сети базовых образовательных организаций, в которых созданы условия для инклюзивного образования детей-инвалидов, %</t>
  </si>
  <si>
    <t>4.2.4.</t>
  </si>
  <si>
    <t>4.2.4.1.</t>
  </si>
  <si>
    <t>4.2.4.2.</t>
  </si>
  <si>
    <t xml:space="preserve">Приложению №1 к Изменениям в муниципальную программу «Развитие образования»
</t>
  </si>
  <si>
    <t xml:space="preserve">Всего:      в т.ч.: </t>
  </si>
  <si>
    <t xml:space="preserve">в т.ч.: </t>
  </si>
  <si>
    <t>СОШ</t>
  </si>
  <si>
    <t>ЦКД (Кисленко)</t>
  </si>
  <si>
    <t xml:space="preserve">Приложение № 1
к Подпрограмме «Отдых, оздоровление и занятость детей и молодежи ЗАТО  Видяево» (в редакции от 31.12.2013 №813, от 12.03.2014 №112, от 11.04.2014 №169, от 21.05.2014 №254, от 28.05.2014 №265, от 05,09,2014 № 406, от 05.11.2014 №502, от 02.12.2014 №573, от 15.12.2014 №601, от 30.12.2014№653, от 26.06.2015 №322, от 27.07.2015 №355, от 24.11.2015 №517, от 30.12.2015 №606)
</t>
  </si>
  <si>
    <t xml:space="preserve">Приложение № 1
к Подпрограмме «Профилактика безнадзорности,правонарушений несовершеннолетних и детского травматизма ЗАТО  Видяево»  на  2014-2016  годы (в редакции от 31.12.2013 № 813, от 12.03.2014 № 112, от 11.04.2014 № 169, от 21.05.2014 № 254,   от 28.05.2014 № 265, от 05.09.2014 № 406, от 05.11.2014 № 502, от 02.12.2014 № 573,  от 15.12.2014 № 601, от 30.12.2014№653, от 26.06.2015 №322, от 27.07.2015 №355, от 24.11.2015 №517, от 30.12.2015 №606)
</t>
  </si>
  <si>
    <t xml:space="preserve">Приложение № 1
к Подпрограмме «Молодежь  ЗАТО  Видяево»  (в редакции от 31.12.2013 №813, от 12.03.2014 №112, от 11.04.2014 №169, от 21.05.2014 №254, от 28.05.2014 №265, от 05,09,2014 № 406, от 05.11.2014 №502, от 02.12.2014 №573, от 15.12.2014 №601, от 30.12.2014№653, от 26.06.2015 №322, от 27.07.2015 №355, от 24.11.2015 №517, от 30.12.2015 №606)
</t>
  </si>
  <si>
    <t>(в редакции от 31.12.2013 №813, от 12.03.2014 №112, от 11.04.2014 №169, от 21.05.2014 №254, от 28.05.2014 №265, от 05,09,2014 №406, от 05.11.2014 №502, от 02.12.2014 №573,  от 15.12.2014 №601, от 30.12.2014№653, от 26.06.2015 №322, от 27.07.2015 № 355, от 24.11.2015 №517,  от 30.12.2015 №606)</t>
  </si>
  <si>
    <t>Молодежная политика ЗАТО Видяево</t>
  </si>
  <si>
    <t>Модернизация образования ЗАТО Видяево</t>
  </si>
  <si>
    <t>Всего по муниципальной программе ЗАТО Видяево "Развитие образования"</t>
  </si>
  <si>
    <t>МКУ "Центр МИТО" ЗАТО Видяево</t>
  </si>
  <si>
    <t xml:space="preserve">ПЕРЕЧЕНЬ ОСНОВНЫХ МЕРОПРИЯТИЙ ПОДПРОГРАММЫ ЗАТО Видяево
«Модернизация образования» </t>
  </si>
  <si>
    <t>(в редакции от 31.12.2013 №813, от 12.03.2014 №112, от 11.04.2014 №169, от 21.05.2014 №254, от 28.05.2014 №265, от 05,09,2014 № 406, от 05.11.2014 №502, от 02.12.2014 №573, от 15.12.2014 №601, от 30.12.2014№653, от 26.06.2015 №322, от 27.07.2015 №355, от 24.11.2015 №517, от 30.12.2015 №606)</t>
  </si>
  <si>
    <t xml:space="preserve">Приложение 
к Подпрограмме «Модернизация образования ЗАТО  Видяево»  
</t>
  </si>
  <si>
    <t>Объемы финансирования (тыс. руб.)</t>
  </si>
  <si>
    <t>Основное мероприятие 1. Организационно - техническое и методическое обслуживание муниципальных учреждений в ЗАТО Видяево</t>
  </si>
  <si>
    <t>Оказание полиграфических услуг для образовательных учреждений и учреждения культуры ЗАТО Видяево в рамках мероприятий запланированных в Календарном плане,%</t>
  </si>
  <si>
    <t>Всего, в т.ч. МБ:</t>
  </si>
  <si>
    <t xml:space="preserve">ПЕРЕЧЕНЬ ОСНОВНЫХ МЕРОПРИЯТИЙ ПОДПРОГРАММЫ
«Модернизация образования ЗАТО Видяево» </t>
  </si>
  <si>
    <t>Всего:    в т.ч.:</t>
  </si>
  <si>
    <t>МБУ ЦБО ЗАТО Видяево</t>
  </si>
  <si>
    <t>Основное мероприятие 2. Содействие повышению профессионального мастерства, распространению положительного педагогического опыта</t>
  </si>
  <si>
    <t>Основное мероприятие 3. Обеспечение и организация питания в образовательных учреждениях</t>
  </si>
  <si>
    <t xml:space="preserve">ПЕРЕЧЕНЬ ОСНОВНЫХ МЕРОПРИЯТИЙ ПОДПРОГРАММЫ 
«Молодежная политика  ЗАТО  Видяево»
</t>
  </si>
  <si>
    <t>Наименование, ед. измерения</t>
  </si>
  <si>
    <t>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</si>
  <si>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 xml:space="preserve">Основное мероприятие 2. Содействие развитию потенциала талантливой молодежи </t>
  </si>
  <si>
    <t>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</si>
  <si>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 xml:space="preserve">Основное мероприятие 4. Отдых, оздоровление и занятость детей и молодежи ЗАТО Видяево </t>
  </si>
  <si>
    <t>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</si>
  <si>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 xml:space="preserve">Всего в т.ч.: </t>
  </si>
  <si>
    <t>Задача 4.  Реализация мероприятий по организации отдыха, оздоровления и занятости детей и молодежи</t>
  </si>
  <si>
    <t>Оздоровление детей в санаторно-оздоровительных учреждениях, расположенных на территории и за пределами Мурманской области</t>
  </si>
  <si>
    <t>МКУ «Центр МИТО» ЗАТО Видяево</t>
  </si>
  <si>
    <t>МБДОУ №1 и №2 ЗАТО Видяево</t>
  </si>
  <si>
    <t>Задача 2. Реализация мероприятий по выявлению и поддержке талантливых детей</t>
  </si>
  <si>
    <t xml:space="preserve">Задача 1.  Обеспечение эффективного управления развитием учреждения и  организационно-техническим сопровождением муниципальных учреждений </t>
  </si>
  <si>
    <t>Задача 5.  Мероприятия по профилактике наркомании и алкоголизма в детской и молодежной среде</t>
  </si>
  <si>
    <t>ПЕРЕЧЕНЬ
ОСНОВНЫХ МЕРОПРИЯТИЙ ВЕДОМСТВЕННОЙ ЦЕЛЕВОЙ ПРОГРАММЫ 
«Методическое, информационно-техническое обеспечение деятельности муниципальных образовательных организаций ЗАТО Видяево»</t>
  </si>
  <si>
    <t xml:space="preserve"> МКУ "Центр МИТО" ЗАТО Видяево</t>
  </si>
  <si>
    <t xml:space="preserve">Всего в т.ч.:    </t>
  </si>
  <si>
    <t xml:space="preserve">Всего:                  в т.ч.: </t>
  </si>
  <si>
    <t>Всего по ВЦП</t>
  </si>
  <si>
    <t>Цель: Обеспечение социализации и самореализации молодежи ЗАТО Видяево, пропаганда здорового образа жизни, обеспечение круглогодичного отдыха, оздоровления и занятости, а так же содействие развитию потенциала талантливой молодежи ЗАТО Видяево.</t>
  </si>
  <si>
    <t xml:space="preserve">Всего в т.ч: </t>
  </si>
  <si>
    <t>2019 год</t>
  </si>
  <si>
    <t>2020 год</t>
  </si>
  <si>
    <t>Исполнители, перечень организаций, участвующих    в реализации основных мероприятий</t>
  </si>
  <si>
    <t>(в редакции от 31.12.2013 №813, от 12.03.2014 №112, от 11.04.2014 №169, от 21.05.2014 №254, от 28.05.2014 №265, от 05,09,2014 № 406, от 05.11.2014 №502, от 02.12.2014 №573, от 15.12.2014 №601, от 30.12.2014№653, от 26.06.2015 №322, от 27.07.2015 №355, от 24.11.2015 №517, от 30.12.2015 №606, от 28.03.2016 №232, от 04.05.2016 №326, от 02.06.2016 №406, от03.08.2016_№_497, от 22.09.2016 №594, от ____________________№_____)</t>
  </si>
  <si>
    <t>№пп</t>
  </si>
  <si>
    <t>Код</t>
  </si>
  <si>
    <t>Наименование подппрограмм</t>
  </si>
  <si>
    <t>Источник финансирования</t>
  </si>
  <si>
    <t>Всего по МП "Развитие образования"</t>
  </si>
  <si>
    <t>Всего по источникам:</t>
  </si>
  <si>
    <t xml:space="preserve">7010000000
</t>
  </si>
  <si>
    <t xml:space="preserve">7020000000
</t>
  </si>
  <si>
    <t xml:space="preserve">7030000000
</t>
  </si>
  <si>
    <t>2021 год</t>
  </si>
  <si>
    <t>2022 год</t>
  </si>
  <si>
    <t>2023 год</t>
  </si>
  <si>
    <t>2024 год</t>
  </si>
  <si>
    <t>2019-2024</t>
  </si>
  <si>
    <t>Доля муниципальных закупок, для нужд муниципалитета от запланированных к проведению конкурентными способами, на текущий финансовый год, %</t>
  </si>
  <si>
    <t>Задача 3. Обеспечение и организация питания в образовательных учреждениях</t>
  </si>
  <si>
    <t>Выполнение годового плана методических мероприятий, %</t>
  </si>
  <si>
    <t>Выполнение функций информационно-аналитического характера, %</t>
  </si>
  <si>
    <t>Выполнение заявок на техническое обслуживание муниципальных учреждений, %</t>
  </si>
  <si>
    <t>Задача 1. Обеспечение доступности образовательных процессов для всех категорий детского населения</t>
  </si>
  <si>
    <t>Задача 2. Повышение кадрового потенциала педагогических работников и привлечение молодых специалистов</t>
  </si>
  <si>
    <t>Удельный вес воспитанников муниципальных дошкольных образовательных учреждений,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учреждений, %</t>
  </si>
  <si>
    <t>800</t>
  </si>
  <si>
    <t>810</t>
  </si>
  <si>
    <t>820</t>
  </si>
  <si>
    <t>830</t>
  </si>
  <si>
    <t>840</t>
  </si>
  <si>
    <t>850</t>
  </si>
  <si>
    <t>99,0</t>
  </si>
  <si>
    <t>Удельный вес численности обучающихся муниципального общеобразовательного учреждения, обучающихся в соответствии с федеральным государственным образовательным стандартом, %</t>
  </si>
  <si>
    <t>Доля детей в возрасте 5-18 лет, получающих услуги дополнительного образования в общей численности детей такого возраста, %</t>
  </si>
  <si>
    <t xml:space="preserve">Доля педагогов – участников муниципальных, региональных, всероссийских конкурсов профессионального мастерства, творческих мероприятий, от общего количества педагогов, %
</t>
  </si>
  <si>
    <t>Доля педагогов, ежегодно повышающих квалификационную категорию, от общего количества педагогов, %</t>
  </si>
  <si>
    <t>Доля образовательных учреждений, в которых будут проведены плановые ремонтные работы, от общего числа образовательных учреждений, требующих ремонта, %</t>
  </si>
  <si>
    <t>Задача 1. Реализация  комплекса мероприятий гражданско-патриотической направленности</t>
  </si>
  <si>
    <t>Доля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образования, %</t>
  </si>
  <si>
    <t>Доля несовершеннолетних, временно трудоустроенных в летний период,  из числа находящихся в ТЖС, в общей численности несовершеннолетних ТЖС, находящихся на разных видах учета, %</t>
  </si>
  <si>
    <t>Организация отдыха и оздоровления детей в муниципальных образовательных организациях</t>
  </si>
  <si>
    <t xml:space="preserve">Уровень удовлетворенности потребителей качеством услуги (по итогам независимого опроса), % </t>
  </si>
  <si>
    <t>Количество проведенных мероприятий для детей и молодежи, направленных на профилактику  асоциального и деструктивного поведения, пропаганду здорового образа жизни, Ед.</t>
  </si>
  <si>
    <t>Доля детей и подростков, охваченных организованным отдыхом и оздоровлением, %</t>
  </si>
  <si>
    <t xml:space="preserve">Доля детей и подростков, находящихся  в ТЖС, охваченных организованным отдыхом и оздоровлением, % </t>
  </si>
  <si>
    <t>Цель ВЦП: Обеспечение условий для методического и информационно-технического обслуживания муниципальных организаций и органов местного самоуправления</t>
  </si>
  <si>
    <t>Удельный вес численности обучающихся муниципального общеобразовательного учреждения, которым предоставлена возможность обучаться в соответствии с основными современными требованиями, в общей численности обучающихся, %</t>
  </si>
  <si>
    <t>Полнота реализации дополнительных общеразвивающих  программ, %</t>
  </si>
  <si>
    <t>Основное мероприятие 4.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</si>
  <si>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МБОО ДО Олимп ЗАТО Видяево</t>
  </si>
  <si>
    <t>МБУК ЦКД ЗАТО Видяево</t>
  </si>
  <si>
    <t>МБОУ СОШ ЗАТО Видяево, МБОО ДО Олимп ЗАТО Видяево</t>
  </si>
  <si>
    <t>Задача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</si>
  <si>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Основное мероприятие 5. Реализация мероприятий по развитию инфраструктуры, материально-технической ресурсной базы муниципальных учреждений</t>
  </si>
  <si>
    <t>5.1.1</t>
  </si>
  <si>
    <t>Приобретение оборудования для медицинских кабинетов</t>
  </si>
  <si>
    <t>Проведение ремонтных работ в медицинских кабинетах образовательных учреждений</t>
  </si>
  <si>
    <t>4.1.4.</t>
  </si>
  <si>
    <t>Выполнение запланированных мероприятий по пополнению материальной технической базы образования, %</t>
  </si>
  <si>
    <t xml:space="preserve">Задача 3.  Мероприятия  по профилактике безнадзорности, правонарушений и детского травматизма.  </t>
  </si>
  <si>
    <t>5.1.2</t>
  </si>
  <si>
    <t>Приобретение оборудования для пищеблока</t>
  </si>
  <si>
    <t>4.1.5.</t>
  </si>
  <si>
    <t>3.1.1.</t>
  </si>
  <si>
    <t>3.1.2.</t>
  </si>
  <si>
    <t>Обеспечение бесплатным питанием отдельных категорий обучающихся</t>
  </si>
  <si>
    <t>Обеспечение бесплатным цельным молоком либо питьевым молоком обучающихся 1-4 классов для детей дошкольного и младшего школьного возраста</t>
  </si>
  <si>
    <t>Проведение ремонтных работ в кабинетах МБОУ ЗАТО Видяево СОШ №1 (для РП Точка Роста)</t>
  </si>
  <si>
    <t>Обеспечение комплексной безопасности МБОУ ЗАТО Видяево СОШ №1</t>
  </si>
  <si>
    <t>Выполнение СМР системы аварийно-пожарной сигнализации и системы телевизионного наблюдения в МБОУ ЗАТО Видяево СОШ №1</t>
  </si>
  <si>
    <t>Выполнение ремонтных работ по устранению выявленных  нарушений согласно Преписанию от 28.03.2019 (№119/19-01, №119/19-02)</t>
  </si>
  <si>
    <t>Ремонт спортивного зала в МБОУ ЗАТО Видяево СОШ №1 РП "Успех каждого ребенка"</t>
  </si>
  <si>
    <t>Обновление материально-технической базы для создания новых мест дополнительного образования цифрового и гуманитарного профилей "Точка роста" РП "Современная школа"</t>
  </si>
  <si>
    <t>Приобретение оборудования для создания новых мест дополнительного образования детей в ЗАТО Видяево РП "Успех каждого ребенка"</t>
  </si>
  <si>
    <t>4.1.6.</t>
  </si>
  <si>
    <t>4.1.7.</t>
  </si>
  <si>
    <t>Приобретение и установка сплит-системы на пищеблоке МБОУ ЗАТО Видяево СОШ №1 в рамках обеспечения КБ</t>
  </si>
  <si>
    <t>Задача 6. Обеспечение персонифицированного финансирования дополнительного образования детей.</t>
  </si>
  <si>
    <t>Основное мероприятие 6. Обеспечение персонифицированного финансирования дополнительного образования детей</t>
  </si>
  <si>
    <t>Администрация ЗАТО Видяево</t>
  </si>
  <si>
    <t>Доля детей в возрасте от 5 до 18 лет, использующих сертификаты ДО в статусе сертификатов персонифицированного финансирования, %</t>
  </si>
  <si>
    <t>Доля детей в возрасте от 5 до 18 лет, получающих дополнительное образование (ДО) с использованием сертификата ДО, в общей численности детей, получающих ДО за счет бюджетных средств, %</t>
  </si>
  <si>
    <t>Уровень посещаемости воспитанниками дошкольных образовательных организаций, %</t>
  </si>
  <si>
    <t>2019 - 2024</t>
  </si>
  <si>
    <t>2019 -2024</t>
  </si>
  <si>
    <t>Основное мероприятие 2. Обеспечение деятельности муниципального опорного центра на территории ЗАТО Видяево</t>
  </si>
  <si>
    <t>Задача 2. Обеспечение деятельности муниципального опорного центра на территории ЗАТО Видяево</t>
  </si>
  <si>
    <t>Выполнение годового плана мероприятий МОЦ, %</t>
  </si>
  <si>
    <t>Обеспечение персонифицированного финансирования дополнительного образования детей</t>
  </si>
  <si>
    <t>Обеспечение деятельности СОНКО по персонифицированному финансированию</t>
  </si>
  <si>
    <t>Проведение ремонтных работ кровли спортзала МБОУ ЗАТО Видяево СОШ №1</t>
  </si>
  <si>
    <t>4.1.6.1</t>
  </si>
  <si>
    <t>4.1.6.2</t>
  </si>
  <si>
    <t>Разработка проектно-сметной документации для монтажа приточно-вытяжной механической вентиляции МБОУ ЗАТО Видяево СОШ №1</t>
  </si>
  <si>
    <t>Разработка проектно сметной документации для выполнения СМР САПС МБОУ ЗАТО Видяево СОШ №1</t>
  </si>
  <si>
    <t>4.1.8.</t>
  </si>
  <si>
    <t>4.1.9.</t>
  </si>
  <si>
    <t>Модернизация системы образования через качественное выполнение муниципальных услуг</t>
  </si>
  <si>
    <t>1.1.1.</t>
  </si>
  <si>
    <t>1.1.2.</t>
  </si>
  <si>
    <t>Разработка проектно-сметной документации</t>
  </si>
  <si>
    <t>1.1.2.1.</t>
  </si>
  <si>
    <t>1.1.2.2.</t>
  </si>
  <si>
    <t>1.1.3</t>
  </si>
  <si>
    <t>МБОУ ЗАТО Видяево СОШ №1</t>
  </si>
  <si>
    <t xml:space="preserve">МБОУ ЗАТО Видяево СОШ №1 </t>
  </si>
  <si>
    <t>4.1.6.3</t>
  </si>
  <si>
    <t>Всего:в т.ч.:</t>
  </si>
  <si>
    <t>3.1.3.</t>
  </si>
  <si>
    <t>Обеспечение бесплатным горячим питанием обучающихся, получающих начальное общее образование</t>
  </si>
  <si>
    <t>Задача 6. Мероприятие по устранению последствий короновирусной инфекции</t>
  </si>
  <si>
    <t>7.</t>
  </si>
  <si>
    <t>6.1</t>
  </si>
  <si>
    <t>Выполнение запланированных мероприятий по обновлению материальной технической базы образования, %</t>
  </si>
  <si>
    <t>Цель: Обеспечение доступности качественного образования для всех категорий обучающихся</t>
  </si>
  <si>
    <t>Обеспечение меры профилактики и устранения последствий распространения короновирусной инфекции, %</t>
  </si>
  <si>
    <t xml:space="preserve">МБУ ДО ЗАТО Видяево ЦДО "Олимп" </t>
  </si>
  <si>
    <t>МБУ ДО ЗАТО Видяево ЦДО "Олимп"</t>
  </si>
  <si>
    <t>5.1.3</t>
  </si>
  <si>
    <t xml:space="preserve">МБОУ ЗАТО Видяево СОШ №1, МБУ ДО ЗАТО Видяево ЦДО "Олимп" </t>
  </si>
  <si>
    <t xml:space="preserve"> </t>
  </si>
  <si>
    <t>4.1.10</t>
  </si>
  <si>
    <t>Всего в т.ч</t>
  </si>
  <si>
    <t>4.1.1.1</t>
  </si>
  <si>
    <t>4.1.1.2.</t>
  </si>
  <si>
    <t>4.1.1.3.</t>
  </si>
  <si>
    <t>Замена кранов радиаторов</t>
  </si>
  <si>
    <t>4.1.1.4.</t>
  </si>
  <si>
    <t xml:space="preserve">Проведение ремонтных работ по фасаду </t>
  </si>
  <si>
    <t>4.1.6.4</t>
  </si>
  <si>
    <t>Выполнение ремонтных работ в части устранения предисаний надзорных органов(Выполнение работ по установке системы вентиляции в корпусе №1 МБОУ ЗАТО Видяево СОШ №1)</t>
  </si>
  <si>
    <t>Ремонт помещений корпуса 2</t>
  </si>
  <si>
    <t>Установка дверей с домофонами</t>
  </si>
  <si>
    <t>4.1.2.1.</t>
  </si>
  <si>
    <t>4.1.2.2.</t>
  </si>
  <si>
    <t>4.1.2.3.</t>
  </si>
  <si>
    <t>Ремонт помещений структурного подразделения "Лучик"</t>
  </si>
  <si>
    <t>4.1.2.4.</t>
  </si>
  <si>
    <t>Ремонт фасада</t>
  </si>
  <si>
    <t xml:space="preserve">Доля образовательных учреждений, в которых будут проведены плановые ремонтные работы, от общего числа образовательных учреждений, требующих ремонта, % </t>
  </si>
  <si>
    <t>Основное мероприятие 6. Профилактика и устранение последствий распространения короновирусной инфекци, а также продтвращение влияния ухудшения экономической ситуации на развитие отраслей экономики</t>
  </si>
  <si>
    <t>МБДОУ ЗАТО Видяево"Детский сад № 1 "Солнышко"</t>
  </si>
  <si>
    <t>МБДОУ ЗАТО Видяево"Детский сад № 1 "Солнышко"; МБДОУ ЗАТО Видяево"Детский сад № 2"Елочка"</t>
  </si>
  <si>
    <t>МБДОУ ЗАТО Видяево"Детский сад № 2"Елочка"</t>
  </si>
  <si>
    <t>Приобретение оборудования и мебели в столовую МБОУ ЗАТО Видяево СОШ № 1</t>
  </si>
  <si>
    <t>Ремонт столовой и кабинета МБОУ  ЗАТО Видяево СОШ № 1</t>
  </si>
  <si>
    <t>Проведение ремонтных работ в МБУ ДО ЗАТО Видяево ЦДО " Олимп"</t>
  </si>
  <si>
    <t>Проведение ремонтных работ в МБДОУ ЗАТО Видяево Детский сад №1 "Солнышко"</t>
  </si>
  <si>
    <t>Проведение ремонтных работ в МДОУ ЗАТО Видяево Детский сад №2 "Ёлочка"</t>
  </si>
  <si>
    <t>Доля образовательных учреждений, условия которых соответствуют требованиям к безопасности проведения образовательных процессов,%</t>
  </si>
  <si>
    <t>МБУ УМС СЗ ЗАТО Видяево</t>
  </si>
  <si>
    <t>Выполнение обязательств, связанных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образования, %</t>
  </si>
  <si>
    <t>Мероприятия по проведению ремонтных работ МБУДО ЗАТО Видяево ДМШ</t>
  </si>
  <si>
    <t>МБУДО ЗАТО Видяево ДМШ</t>
  </si>
  <si>
    <t>Доля обучающихся получающих горячее  питание, %</t>
  </si>
  <si>
    <t>Обеспеченность детей дошкольного возраста местами в дошкольных образовательных учреждениях, мест на 1000 детей</t>
  </si>
  <si>
    <t>МБДОУ ЗАТО Видяево Детский сад №1</t>
  </si>
  <si>
    <t>Ремонт корпусов помещений 1 и 2 МБОУ  ЗАТО Видяево СОШ № 1</t>
  </si>
  <si>
    <t>Ремонт помещений детского сада, ремонт фасада</t>
  </si>
  <si>
    <t>5.1.4</t>
  </si>
  <si>
    <t xml:space="preserve"> Реализация мероприятий по развитию инфраструктуры материально-технической ресурсной базы МБОУ ДО ЗАТО Видяево ЦДОД</t>
  </si>
  <si>
    <t>5.1.5</t>
  </si>
  <si>
    <t>Вид  расхода</t>
  </si>
  <si>
    <t>Всего, тыс. руб.</t>
  </si>
  <si>
    <t>В том числе по годам</t>
  </si>
  <si>
    <t>(очередной год и плановый период), тыс. руб.</t>
  </si>
  <si>
    <t xml:space="preserve"> Всего по программе:</t>
  </si>
  <si>
    <t>в том числе за счет:</t>
  </si>
  <si>
    <t>средств бюджета ЗАТО Видяево:</t>
  </si>
  <si>
    <t>100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</si>
  <si>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  Закупка товаров, работ и услуг для государственных (муниципальных) нужд</t>
  </si>
  <si>
    <t>800 Иные бюджетные ассигнования</t>
  </si>
  <si>
    <t>средств областного бюджета:</t>
  </si>
  <si>
    <t>4.1.11</t>
  </si>
  <si>
    <t>Мероприятия по проведению ремонтных работ МБУ ДО ЗАТО Видяево ЦДО " Олимп"</t>
  </si>
  <si>
    <t>МБУ ДО ЗАТО Видяево ЦДО " Олимп"</t>
  </si>
  <si>
    <t>4.1.1.5.</t>
  </si>
  <si>
    <t>Проведение капитальных (текущих) ремонтов социальной, инженерной и жилищно-коммунальной инфраструктуры МБДОУ № 1 ЗАТО Видяево</t>
  </si>
  <si>
    <t>4.1.12</t>
  </si>
  <si>
    <t>Разработка проектной документации на капитальный ремонт</t>
  </si>
  <si>
    <t>5.1.6</t>
  </si>
  <si>
    <t>Реализация мероприятий по замене окон в муниципальных общеобразовательных организациях</t>
  </si>
  <si>
    <t>Реализация мероприятий по преобразованию школьных пространств</t>
  </si>
  <si>
    <t>1.1.4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</si>
  <si>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</si>
  <si>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Выполнение обязательств, связанных с выплатой денежного вознаграждения за классное руководство педагогическим работникам муниципальных общеобразовательных организаций, %.</t>
  </si>
  <si>
    <t>Доля обучающихся, освоивших основную общеобразовательную программу начального общего, основного общего, среднего общего  образования, в общей численности обучающихся,  %</t>
  </si>
  <si>
    <t>95,0</t>
  </si>
  <si>
    <t>Приложение №1 муниципальной программе "Развитие образования ЗАТО Видяево".</t>
  </si>
  <si>
    <t>5.1.7</t>
  </si>
  <si>
    <t>Реализация мероприятий по  развитию инфраструктуры материально-технической ресурсной базы МБДОУ ЗАТО Видяево"Детский сад № 1 "Солнышко" и МБДОУ ЗАТО Видяево"Детский сад № 2"Елочка"</t>
  </si>
  <si>
    <t>Задача 5. Реализация мероприятий по развитию инфраструктуры, материально-технической ресурсной базы муниципальных учреждений</t>
  </si>
  <si>
    <t>1.1.5.</t>
  </si>
  <si>
    <t>4.1.12.1.</t>
  </si>
  <si>
    <t>4.1.12.2.</t>
  </si>
  <si>
    <t>Разработка проектной документации на капитальный ремонт спортивного объекта "Межшкольный стадион" ЗАТО Видяево</t>
  </si>
  <si>
    <t>Разработка проектно-сметной документации по фасаду МБОУ ЗАТО Видяево СОШ №1</t>
  </si>
  <si>
    <t>5.1.8</t>
  </si>
  <si>
    <t>Реализация мероприятий по преобразованию пространств образовательных организаций в рамках проекта "Arctic schools"</t>
  </si>
  <si>
    <t xml:space="preserve"> МБУК ЦКД ЗАТО Видяево</t>
  </si>
  <si>
    <t>Реализация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</si>
  <si>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Реализация мероприятий  по созданию, брендированию и укреплению материально-технической базы открытых пространств для поддержки и развития молодежных инициатив "СОПКИ"</t>
  </si>
  <si>
    <t>Количество единиц приобретенных основных средств и материальных запасов для использования в помещении, предназначенном под молодежное пространство, шт</t>
  </si>
  <si>
    <t>Количество проведенных ремонтных работ в соответствии с перечнем ремонтных работ, шт</t>
  </si>
  <si>
    <t>Доля охвата подростков и молодежи, вовлеченных       в воспитательные профилактические мероприятия, к общему количеству указанной категории, %</t>
  </si>
  <si>
    <t xml:space="preserve">Доля молодых людей, вовлеченных в мероприятия, направленные на самореализацию и социализацию молодежи, в общей численности молодежи в возрасте от 14 до 30 лет, % </t>
  </si>
  <si>
    <t>1.1.6.</t>
  </si>
  <si>
    <t xml:space="preserve">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 </t>
  </si>
  <si>
    <t>роспись</t>
  </si>
  <si>
    <t>Региональный проект "Современная школа". Развитие материально- технической базы для создания новых мест дополнительного образования</t>
  </si>
  <si>
    <t xml:space="preserve"> Задача 7. Региональные проекты</t>
  </si>
  <si>
    <t>Региональный проект "Успех каждого ребенка". Обеспечение качественных условий содержания и методов дополнительного образования детей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</si>
  <si>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</si>
  <si>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Региональный проект "Патриотическое воспитание граждан Российской Федерации".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</si>
  <si>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7.1.</t>
  </si>
  <si>
    <t>7.1.1</t>
  </si>
  <si>
    <t>7.1.2.</t>
  </si>
  <si>
    <t>7.1.2.1.</t>
  </si>
  <si>
    <t>7.1.3.</t>
  </si>
  <si>
    <t>Реализация Региональных проектов</t>
  </si>
  <si>
    <t>Реализация Регионального проекта "Успех каждого ребенка"</t>
  </si>
  <si>
    <t>Выполнение запланированных мероприятий по обеспечению деятельности советников директора %</t>
  </si>
  <si>
    <t xml:space="preserve">Приложение №2 к  муниципальной программе «Развитие образования ЗАТО Видяево».  </t>
  </si>
  <si>
    <t>Приложение № 3 к  муниципальной программе «Развитие образования ЗАТО Видяево».</t>
  </si>
  <si>
    <r>
      <t xml:space="preserve">Основное мероприятие 1. Модернизация системы образования через качественное выполнение муниципальных услуг                                                              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 xml:space="preserve">(В т.ч. Меры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пунктах;Частичная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Федеральным законом от 19.06.2000 N 82-ФЗ "О минимальном размере оплаты труда", увеличенного на районный коэффициент и процентную надбавку за стаж
работы в районах Крайнего Севера) или поселках городского типа Мурманской области, имеющих в соответствии с Законом Мурманской области от
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
установление повышенных на 25 процентов размеров тарифной ставки, оклада (должностного оклада), 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в соответствии с Перечнем должностей
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
утвержденным постановлением Правительства Мурманской области от 01.03.2011 № 86-ПП, 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Федеральным законом от 19.06.2000 N 82-ФЗ «О минимальном размере оплаты труда», увеличенного на районный коэффициент и процентную надбавку за стаж работы в районах Крайнего Севера) </t>
    </r>
  </si>
  <si>
    <r>
      <t xml:space="preserve"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 муниципальных общеобразовательных организаций </t>
    </r>
    <r>
      <rPr>
        <b/>
        <sz val="8"/>
        <rFont val="Times New Roman"/>
        <family val="1"/>
        <charset val="204"/>
      </rPr>
      <t>(за счет средств областного бюджета)</t>
    </r>
  </si>
  <si>
    <r>
      <t xml:space="preserve">Межбюджетные трансферты из областного бюджета местным бюджетам на укрепление и обновление материально-технической базы образовательных организаций (за счет средств резервного фонда Правительства Мурманской области) </t>
    </r>
    <r>
      <rPr>
        <b/>
        <sz val="8"/>
        <rFont val="Times New Roman"/>
        <family val="1"/>
        <charset val="204"/>
      </rPr>
      <t>(за счет средств областного бюджета)</t>
    </r>
  </si>
  <si>
    <r>
      <rPr>
        <b/>
        <sz val="8"/>
        <rFont val="Times New Roman"/>
        <family val="1"/>
        <charset val="204"/>
      </rPr>
      <t>Всего:</t>
    </r>
    <r>
      <rPr>
        <sz val="8"/>
        <rFont val="Times New Roman"/>
        <family val="1"/>
        <charset val="204"/>
      </rPr>
      <t xml:space="preserve">    в т.ч.: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</si>
</sst>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#,##0.00;[Red]#,##0.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7.5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58">
      <alignment horizontal="center" vertical="center" wrapText="1"/>
    </xf>
    <xf numFmtId="49" fontId="2" fillId="0" borderId="58">
      <alignment horizontal="left" vertical="top" wrapText="1"/>
    </xf>
    <xf numFmtId="0" fontId="4" fillId="0" borderId="0"/>
    <xf numFmtId="9" fontId="1" fillId="0" borderId="0" applyFont="0" applyFill="0" applyBorder="0" applyAlignment="0" applyProtection="0"/>
  </cellStyleXfs>
  <cellXfs count="1341">
    <xf numFmtId="0" fontId="0" fillId="0" borderId="0" xfId="0"/>
    <xf numFmtId="0" fontId="5" fillId="0" borderId="0" xfId="0" applyFont="1" applyAlignment="1">
      <alignment readingOrder="1"/>
    </xf>
    <xf numFmtId="49" fontId="5" fillId="0" borderId="0" xfId="0" applyNumberFormat="1" applyFont="1" applyAlignment="1">
      <alignment readingOrder="1"/>
    </xf>
    <xf numFmtId="0" fontId="5" fillId="0" borderId="0" xfId="0" applyFont="1" applyAlignment="1">
      <alignment horizontal="center" readingOrder="1"/>
    </xf>
    <xf numFmtId="0" fontId="5" fillId="0" borderId="0" xfId="0" applyFont="1" applyAlignment="1">
      <alignment horizontal="left" readingOrder="1"/>
    </xf>
    <xf numFmtId="0" fontId="6" fillId="0" borderId="0" xfId="0" applyFont="1" applyAlignment="1">
      <alignment horizontal="left" readingOrder="1"/>
    </xf>
    <xf numFmtId="49" fontId="5" fillId="0" borderId="0" xfId="0" applyNumberFormat="1" applyFont="1" applyAlignment="1">
      <alignment horizontal="center" readingOrder="1"/>
    </xf>
    <xf numFmtId="49" fontId="6" fillId="0" borderId="0" xfId="0" applyNumberFormat="1" applyFont="1" applyAlignment="1">
      <alignment horizontal="center" readingOrder="1"/>
    </xf>
    <xf numFmtId="49" fontId="7" fillId="0" borderId="1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wrapText="1" readingOrder="1"/>
    </xf>
    <xf numFmtId="0" fontId="9" fillId="0" borderId="0" xfId="0" applyFont="1" applyAlignment="1">
      <alignment readingOrder="1"/>
    </xf>
    <xf numFmtId="0" fontId="8" fillId="0" borderId="0" xfId="0" applyFont="1" applyAlignment="1">
      <alignment readingOrder="1"/>
    </xf>
    <xf numFmtId="0" fontId="10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 readingOrder="1"/>
    </xf>
    <xf numFmtId="0" fontId="11" fillId="0" borderId="0" xfId="0" applyFont="1" applyAlignment="1">
      <alignment readingOrder="1"/>
    </xf>
    <xf numFmtId="49" fontId="7" fillId="0" borderId="1" xfId="0" applyNumberFormat="1" applyFont="1" applyBorder="1" applyAlignment="1">
      <alignment horizontal="center" wrapText="1" readingOrder="1"/>
    </xf>
    <xf numFmtId="0" fontId="10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 readingOrder="1"/>
    </xf>
    <xf numFmtId="49" fontId="10" fillId="0" borderId="5" xfId="0" applyNumberFormat="1" applyFont="1" applyBorder="1" applyAlignment="1">
      <alignment horizontal="left" vertical="top" wrapText="1" readingOrder="1"/>
    </xf>
    <xf numFmtId="0" fontId="10" fillId="0" borderId="1" xfId="0" applyNumberFormat="1" applyFont="1" applyBorder="1" applyAlignment="1">
      <alignment horizontal="center" vertical="center" wrapText="1" readingOrder="1"/>
    </xf>
    <xf numFmtId="49" fontId="8" fillId="0" borderId="0" xfId="0" applyNumberFormat="1" applyFont="1" applyAlignment="1">
      <alignment readingOrder="1"/>
    </xf>
    <xf numFmtId="0" fontId="8" fillId="0" borderId="0" xfId="0" applyFont="1" applyAlignment="1">
      <alignment horizontal="center" readingOrder="1"/>
    </xf>
    <xf numFmtId="0" fontId="8" fillId="0" borderId="0" xfId="0" applyFont="1" applyAlignment="1">
      <alignment horizontal="left" readingOrder="1"/>
    </xf>
    <xf numFmtId="49" fontId="8" fillId="0" borderId="0" xfId="0" applyNumberFormat="1" applyFont="1" applyAlignment="1">
      <alignment horizontal="center" readingOrder="1"/>
    </xf>
    <xf numFmtId="0" fontId="8" fillId="0" borderId="0" xfId="0" applyFont="1"/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readingOrder="1"/>
    </xf>
    <xf numFmtId="0" fontId="7" fillId="0" borderId="1" xfId="0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readingOrder="1"/>
    </xf>
    <xf numFmtId="0" fontId="8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readingOrder="1"/>
    </xf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10" fillId="0" borderId="0" xfId="0" applyFont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 readingOrder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64" fontId="10" fillId="2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164" fontId="7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64" fontId="10" fillId="2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 readingOrder="1"/>
    </xf>
    <xf numFmtId="9" fontId="10" fillId="0" borderId="6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wrapText="1"/>
    </xf>
    <xf numFmtId="164" fontId="10" fillId="2" borderId="19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 readingOrder="1"/>
    </xf>
    <xf numFmtId="0" fontId="10" fillId="0" borderId="0" xfId="0" applyFont="1" applyAlignment="1">
      <alignment horizontal="center" wrapText="1"/>
    </xf>
    <xf numFmtId="49" fontId="10" fillId="0" borderId="6" xfId="0" applyNumberFormat="1" applyFont="1" applyBorder="1" applyAlignment="1">
      <alignment vertical="top" wrapText="1" readingOrder="1"/>
    </xf>
    <xf numFmtId="49" fontId="10" fillId="0" borderId="1" xfId="0" applyNumberFormat="1" applyFont="1" applyBorder="1" applyAlignment="1">
      <alignment vertical="top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49" fontId="10" fillId="0" borderId="2" xfId="0" applyNumberFormat="1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10" fillId="0" borderId="5" xfId="0" applyNumberFormat="1" applyFon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left" vertical="top" wrapText="1" readingOrder="1"/>
    </xf>
    <xf numFmtId="49" fontId="10" fillId="0" borderId="1" xfId="0" applyNumberFormat="1" applyFont="1" applyBorder="1" applyAlignment="1">
      <alignment horizontal="center" vertical="top" readingOrder="1"/>
    </xf>
    <xf numFmtId="49" fontId="10" fillId="0" borderId="2" xfId="0" applyNumberFormat="1" applyFont="1" applyBorder="1" applyAlignment="1">
      <alignment horizontal="center" vertical="top" readingOrder="1"/>
    </xf>
    <xf numFmtId="49" fontId="10" fillId="0" borderId="6" xfId="0" applyNumberFormat="1" applyFont="1" applyBorder="1" applyAlignment="1">
      <alignment horizontal="center" vertical="top" readingOrder="1"/>
    </xf>
    <xf numFmtId="164" fontId="5" fillId="0" borderId="0" xfId="0" applyNumberFormat="1" applyFont="1" applyAlignment="1">
      <alignment horizontal="center" vertical="center" readingOrder="1"/>
    </xf>
    <xf numFmtId="49" fontId="7" fillId="0" borderId="6" xfId="0" applyNumberFormat="1" applyFont="1" applyBorder="1" applyAlignment="1">
      <alignment horizontal="center" vertical="center" wrapText="1" readingOrder="1"/>
    </xf>
    <xf numFmtId="49" fontId="10" fillId="0" borderId="20" xfId="0" applyNumberFormat="1" applyFont="1" applyBorder="1" applyAlignment="1">
      <alignment horizontal="center" vertical="top" wrapText="1" readingOrder="1"/>
    </xf>
    <xf numFmtId="49" fontId="7" fillId="0" borderId="21" xfId="0" applyNumberFormat="1" applyFont="1" applyBorder="1" applyAlignment="1">
      <alignment horizontal="left" vertical="top" wrapText="1" readingOrder="1"/>
    </xf>
    <xf numFmtId="49" fontId="10" fillId="0" borderId="21" xfId="0" applyNumberFormat="1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center" wrapText="1" readingOrder="1"/>
    </xf>
    <xf numFmtId="49" fontId="10" fillId="0" borderId="2" xfId="0" applyNumberFormat="1" applyFont="1" applyBorder="1" applyAlignment="1">
      <alignment horizontal="left" vertical="top" wrapText="1" readingOrder="1"/>
    </xf>
    <xf numFmtId="49" fontId="10" fillId="0" borderId="1" xfId="0" applyNumberFormat="1" applyFont="1" applyBorder="1" applyAlignment="1">
      <alignment horizontal="left" vertical="top" wrapText="1" readingOrder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left" vertical="center" wrapText="1" readingOrder="1"/>
    </xf>
    <xf numFmtId="49" fontId="10" fillId="0" borderId="23" xfId="0" applyNumberFormat="1" applyFont="1" applyBorder="1" applyAlignment="1">
      <alignment horizontal="center" vertical="center" wrapText="1" readingOrder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readingOrder="1"/>
    </xf>
    <xf numFmtId="0" fontId="6" fillId="0" borderId="1" xfId="0" applyFont="1" applyBorder="1" applyAlignment="1">
      <alignment horizontal="center" readingOrder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7" fillId="0" borderId="27" xfId="0" applyNumberFormat="1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readingOrder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wrapText="1" readingOrder="1"/>
    </xf>
    <xf numFmtId="0" fontId="10" fillId="0" borderId="1" xfId="0" applyFont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center" vertical="center" wrapText="1" readingOrder="1"/>
    </xf>
    <xf numFmtId="0" fontId="10" fillId="0" borderId="2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49" fontId="10" fillId="0" borderId="1" xfId="4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164" fontId="7" fillId="0" borderId="6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10" fillId="0" borderId="19" xfId="0" applyNumberFormat="1" applyFont="1" applyBorder="1" applyAlignment="1">
      <alignment horizontal="center" vertical="center" wrapText="1" readingOrder="1"/>
    </xf>
    <xf numFmtId="49" fontId="10" fillId="0" borderId="2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 readingOrder="1"/>
    </xf>
    <xf numFmtId="0" fontId="0" fillId="0" borderId="19" xfId="0" applyBorder="1" applyAlignment="1">
      <alignment horizontal="center" vertical="top" wrapText="1" readingOrder="1"/>
    </xf>
    <xf numFmtId="0" fontId="10" fillId="0" borderId="19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top" wrapText="1"/>
    </xf>
    <xf numFmtId="0" fontId="10" fillId="0" borderId="29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 readingOrder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 readingOrder="1"/>
    </xf>
    <xf numFmtId="164" fontId="7" fillId="0" borderId="6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164" fontId="10" fillId="0" borderId="19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 readingOrder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center" vertical="top" wrapText="1" readingOrder="1"/>
    </xf>
    <xf numFmtId="0" fontId="10" fillId="0" borderId="1" xfId="0" applyFont="1" applyBorder="1" applyAlignment="1">
      <alignment vertical="top" wrapText="1"/>
    </xf>
    <xf numFmtId="164" fontId="7" fillId="0" borderId="2" xfId="0" applyNumberFormat="1" applyFont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 readingOrder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 readingOrder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19" xfId="0" applyNumberFormat="1" applyFont="1" applyFill="1" applyBorder="1" applyAlignment="1">
      <alignment horizontal="center" vertical="center" wrapText="1" readingOrder="1"/>
    </xf>
    <xf numFmtId="164" fontId="7" fillId="0" borderId="3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center" vertical="center" readingOrder="1"/>
    </xf>
    <xf numFmtId="0" fontId="10" fillId="0" borderId="0" xfId="0" applyFont="1" applyFill="1" applyAlignment="1">
      <alignment readingOrder="1"/>
    </xf>
    <xf numFmtId="0" fontId="10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readingOrder="1"/>
    </xf>
    <xf numFmtId="0" fontId="10" fillId="0" borderId="0" xfId="0" applyFont="1" applyFill="1" applyAlignment="1">
      <alignment horizontal="center" vertical="top" readingOrder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6" fillId="0" borderId="0" xfId="0" applyFont="1" applyFill="1" applyAlignment="1">
      <alignment horizontal="left" vertical="top" readingOrder="1"/>
    </xf>
    <xf numFmtId="164" fontId="7" fillId="0" borderId="19" xfId="0" applyNumberFormat="1" applyFont="1" applyFill="1" applyBorder="1" applyAlignment="1">
      <alignment horizontal="center" vertical="center" wrapText="1" readingOrder="1"/>
    </xf>
    <xf numFmtId="9" fontId="10" fillId="0" borderId="2" xfId="0" applyNumberFormat="1" applyFont="1" applyFill="1" applyBorder="1" applyAlignment="1">
      <alignment horizontal="center" vertical="top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5" fillId="0" borderId="0" xfId="0" applyFont="1" applyFill="1" applyAlignment="1">
      <alignment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2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 readingOrder="1"/>
    </xf>
    <xf numFmtId="164" fontId="10" fillId="0" borderId="13" xfId="0" applyNumberFormat="1" applyFont="1" applyFill="1" applyBorder="1" applyAlignment="1">
      <alignment horizontal="center" vertical="top" wrapText="1"/>
    </xf>
    <xf numFmtId="164" fontId="10" fillId="0" borderId="14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164" fontId="7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49" fontId="10" fillId="0" borderId="2" xfId="0" applyNumberFormat="1" applyFont="1" applyFill="1" applyBorder="1" applyAlignment="1">
      <alignment horizontal="center" vertical="top" wrapText="1" readingOrder="1"/>
    </xf>
    <xf numFmtId="0" fontId="7" fillId="0" borderId="31" xfId="0" applyFont="1" applyFill="1" applyBorder="1" applyAlignment="1">
      <alignment horizontal="left" vertical="center" wrapText="1" readingOrder="1"/>
    </xf>
    <xf numFmtId="164" fontId="7" fillId="0" borderId="32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49" fontId="7" fillId="0" borderId="6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49" fontId="10" fillId="0" borderId="1" xfId="0" applyNumberFormat="1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center" vertical="center" wrapText="1" readingOrder="1"/>
    </xf>
    <xf numFmtId="9" fontId="10" fillId="0" borderId="1" xfId="0" applyNumberFormat="1" applyFont="1" applyFill="1" applyBorder="1" applyAlignment="1">
      <alignment horizontal="center" vertical="top" wrapText="1" readingOrder="1"/>
    </xf>
    <xf numFmtId="0" fontId="10" fillId="0" borderId="19" xfId="0" applyFont="1" applyFill="1" applyBorder="1" applyAlignment="1">
      <alignment horizontal="center" vertical="top" wrapText="1" readingOrder="1"/>
    </xf>
    <xf numFmtId="49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left" vertical="center" wrapText="1" readingOrder="1"/>
    </xf>
    <xf numFmtId="164" fontId="7" fillId="0" borderId="33" xfId="0" applyNumberFormat="1" applyFont="1" applyFill="1" applyBorder="1" applyAlignment="1">
      <alignment horizontal="center" vertical="center" wrapText="1" readingOrder="1"/>
    </xf>
    <xf numFmtId="164" fontId="7" fillId="0" borderId="34" xfId="0" applyNumberFormat="1" applyFont="1" applyFill="1" applyBorder="1" applyAlignment="1">
      <alignment horizontal="center" vertical="center" wrapText="1" readingOrder="1"/>
    </xf>
    <xf numFmtId="164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26" xfId="0" applyFont="1" applyFill="1" applyBorder="1" applyAlignment="1">
      <alignment horizontal="left" vertical="center" wrapText="1" readingOrder="1"/>
    </xf>
    <xf numFmtId="164" fontId="10" fillId="0" borderId="35" xfId="0" applyNumberFormat="1" applyFont="1" applyFill="1" applyBorder="1" applyAlignment="1">
      <alignment horizontal="center" vertical="center" wrapText="1" readingOrder="1"/>
    </xf>
    <xf numFmtId="49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left" vertical="top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36" xfId="0" applyFont="1" applyFill="1" applyBorder="1" applyAlignment="1">
      <alignment horizontal="left" vertical="top" wrapText="1" readingOrder="1"/>
    </xf>
    <xf numFmtId="0" fontId="12" fillId="0" borderId="36" xfId="0" applyFont="1" applyFill="1" applyBorder="1" applyAlignment="1">
      <alignment horizontal="center" vertical="top" wrapText="1" readingOrder="1"/>
    </xf>
    <xf numFmtId="0" fontId="12" fillId="0" borderId="0" xfId="0" applyFont="1" applyFill="1" applyBorder="1" applyAlignment="1">
      <alignment horizontal="center" vertical="top" wrapText="1" readingOrder="1"/>
    </xf>
    <xf numFmtId="49" fontId="12" fillId="0" borderId="0" xfId="0" applyNumberFormat="1" applyFont="1" applyFill="1" applyBorder="1" applyAlignment="1">
      <alignment horizontal="center" vertical="center" readingOrder="1"/>
    </xf>
    <xf numFmtId="0" fontId="12" fillId="0" borderId="0" xfId="0" applyFont="1" applyFill="1" applyBorder="1" applyAlignment="1">
      <alignment horizontal="left" vertical="top" readingOrder="1"/>
    </xf>
    <xf numFmtId="0" fontId="12" fillId="0" borderId="0" xfId="0" applyFont="1" applyFill="1" applyBorder="1" applyAlignment="1">
      <alignment horizontal="center" vertical="center" readingOrder="1"/>
    </xf>
    <xf numFmtId="0" fontId="12" fillId="0" borderId="0" xfId="0" applyFont="1" applyFill="1" applyBorder="1" applyAlignment="1">
      <alignment horizontal="center" vertical="top" readingOrder="1"/>
    </xf>
    <xf numFmtId="0" fontId="12" fillId="0" borderId="0" xfId="0" applyFont="1" applyFill="1" applyBorder="1" applyAlignment="1">
      <alignment readingOrder="1"/>
    </xf>
    <xf numFmtId="49" fontId="6" fillId="0" borderId="0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top" readingOrder="1"/>
    </xf>
    <xf numFmtId="49" fontId="6" fillId="0" borderId="0" xfId="0" applyNumberFormat="1" applyFont="1" applyFill="1" applyAlignment="1">
      <alignment horizontal="center" vertical="center" readingOrder="1"/>
    </xf>
    <xf numFmtId="0" fontId="6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center" vertical="top" readingOrder="1"/>
    </xf>
    <xf numFmtId="0" fontId="7" fillId="0" borderId="20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top" wrapText="1" readingOrder="1"/>
    </xf>
    <xf numFmtId="49" fontId="10" fillId="0" borderId="6" xfId="0" applyNumberFormat="1" applyFont="1" applyFill="1" applyBorder="1" applyAlignment="1">
      <alignment horizontal="left" vertical="center" wrapText="1" readingOrder="1"/>
    </xf>
    <xf numFmtId="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 readingOrder="1"/>
    </xf>
    <xf numFmtId="0" fontId="10" fillId="0" borderId="5" xfId="0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 readingOrder="1"/>
    </xf>
    <xf numFmtId="49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26" xfId="0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readingOrder="1"/>
    </xf>
    <xf numFmtId="0" fontId="5" fillId="0" borderId="0" xfId="0" applyFont="1" applyFill="1" applyAlignment="1">
      <alignment horizontal="center" vertical="center" readingOrder="1"/>
    </xf>
    <xf numFmtId="0" fontId="5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horizontal="center" readingOrder="1"/>
    </xf>
    <xf numFmtId="164" fontId="5" fillId="0" borderId="0" xfId="0" applyNumberFormat="1" applyFont="1" applyFill="1" applyAlignment="1">
      <alignment horizontal="center" vertical="center" readingOrder="1"/>
    </xf>
    <xf numFmtId="164" fontId="10" fillId="4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right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readingOrder="1"/>
    </xf>
    <xf numFmtId="0" fontId="8" fillId="0" borderId="0" xfId="0" applyFont="1" applyAlignment="1">
      <alignment wrapText="1"/>
    </xf>
    <xf numFmtId="2" fontId="10" fillId="0" borderId="2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/>
    </xf>
    <xf numFmtId="1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 wrapText="1"/>
    </xf>
    <xf numFmtId="49" fontId="7" fillId="0" borderId="0" xfId="2" applyNumberFormat="1" applyFont="1" applyFill="1" applyBorder="1" applyProtection="1">
      <alignment horizontal="left" vertical="top" wrapText="1"/>
    </xf>
    <xf numFmtId="49" fontId="10" fillId="0" borderId="0" xfId="2" applyNumberFormat="1" applyFont="1" applyFill="1" applyBorder="1" applyProtection="1">
      <alignment horizontal="left" vertical="top" wrapText="1"/>
    </xf>
    <xf numFmtId="49" fontId="8" fillId="0" borderId="0" xfId="0" applyNumberFormat="1" applyFont="1" applyFill="1" applyBorder="1" applyAlignment="1">
      <alignment readingOrder="1"/>
    </xf>
    <xf numFmtId="4" fontId="7" fillId="0" borderId="0" xfId="0" applyNumberFormat="1" applyFont="1" applyFill="1" applyBorder="1" applyAlignment="1">
      <alignment vertical="center" wrapText="1"/>
    </xf>
    <xf numFmtId="4" fontId="20" fillId="0" borderId="19" xfId="0" applyNumberFormat="1" applyFont="1" applyFill="1" applyBorder="1" applyAlignment="1">
      <alignment horizontal="center" vertical="top" wrapText="1"/>
    </xf>
    <xf numFmtId="4" fontId="20" fillId="0" borderId="6" xfId="0" applyNumberFormat="1" applyFont="1" applyFill="1" applyBorder="1" applyAlignment="1">
      <alignment horizontal="center" vertical="top" wrapText="1"/>
    </xf>
    <xf numFmtId="4" fontId="21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top" wrapText="1" readingOrder="1"/>
    </xf>
    <xf numFmtId="0" fontId="8" fillId="0" borderId="0" xfId="0" applyFont="1" applyFill="1" applyAlignment="1">
      <alignment horizontal="center" vertical="center" wrapText="1" readingOrder="1"/>
    </xf>
    <xf numFmtId="0" fontId="10" fillId="0" borderId="0" xfId="0" applyFont="1" applyFill="1" applyBorder="1" applyAlignment="1">
      <alignment wrapText="1" readingOrder="1"/>
    </xf>
    <xf numFmtId="4" fontId="7" fillId="5" borderId="33" xfId="0" applyNumberFormat="1" applyFont="1" applyFill="1" applyBorder="1" applyAlignment="1">
      <alignment horizontal="center" vertical="center" wrapText="1"/>
    </xf>
    <xf numFmtId="4" fontId="7" fillId="5" borderId="34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2" fontId="10" fillId="5" borderId="13" xfId="0" applyNumberFormat="1" applyFont="1" applyFill="1" applyBorder="1" applyAlignment="1">
      <alignment horizontal="center" vertical="center" wrapText="1"/>
    </xf>
    <xf numFmtId="4" fontId="10" fillId="5" borderId="13" xfId="0" applyNumberFormat="1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 wrapText="1"/>
    </xf>
    <xf numFmtId="2" fontId="10" fillId="5" borderId="4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Fill="1" applyBorder="1" applyAlignment="1">
      <alignment horizontal="right" vertical="top" wrapText="1" readingOrder="1"/>
    </xf>
    <xf numFmtId="0" fontId="8" fillId="0" borderId="0" xfId="0" applyFont="1" applyFill="1" applyAlignment="1">
      <alignment wrapText="1" readingOrder="1"/>
    </xf>
    <xf numFmtId="0" fontId="8" fillId="0" borderId="0" xfId="0" applyFont="1" applyFill="1" applyAlignment="1">
      <alignment horizontal="center" vertical="top" wrapText="1" readingOrder="1"/>
    </xf>
    <xf numFmtId="0" fontId="8" fillId="0" borderId="0" xfId="0" applyFont="1" applyFill="1" applyAlignment="1">
      <alignment readingOrder="1"/>
    </xf>
    <xf numFmtId="0" fontId="8" fillId="0" borderId="0" xfId="0" applyFont="1" applyFill="1" applyAlignment="1">
      <alignment horizontal="left" vertical="center" wrapText="1" readingOrder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readingOrder="1"/>
    </xf>
    <xf numFmtId="0" fontId="11" fillId="0" borderId="0" xfId="0" applyFont="1" applyFill="1" applyAlignment="1">
      <alignment readingOrder="1"/>
    </xf>
    <xf numFmtId="0" fontId="9" fillId="0" borderId="0" xfId="0" applyFont="1" applyFill="1" applyAlignment="1">
      <alignment readingOrder="1"/>
    </xf>
    <xf numFmtId="49" fontId="20" fillId="0" borderId="5" xfId="0" applyNumberFormat="1" applyFont="1" applyFill="1" applyBorder="1" applyAlignment="1">
      <alignment vertical="center" wrapText="1" readingOrder="1"/>
    </xf>
    <xf numFmtId="49" fontId="20" fillId="0" borderId="36" xfId="0" applyNumberFormat="1" applyFont="1" applyFill="1" applyBorder="1" applyAlignment="1">
      <alignment vertical="center" wrapText="1" readingOrder="1"/>
    </xf>
    <xf numFmtId="49" fontId="20" fillId="0" borderId="37" xfId="0" applyNumberFormat="1" applyFont="1" applyFill="1" applyBorder="1" applyAlignment="1">
      <alignment vertical="center" wrapText="1" readingOrder="1"/>
    </xf>
    <xf numFmtId="49" fontId="20" fillId="0" borderId="0" xfId="0" applyNumberFormat="1" applyFont="1" applyFill="1" applyBorder="1" applyAlignment="1">
      <alignment vertical="center" wrapText="1" readingOrder="1"/>
    </xf>
    <xf numFmtId="49" fontId="20" fillId="0" borderId="21" xfId="0" applyNumberFormat="1" applyFont="1" applyFill="1" applyBorder="1" applyAlignment="1">
      <alignment vertical="center" wrapText="1" readingOrder="1"/>
    </xf>
    <xf numFmtId="49" fontId="20" fillId="0" borderId="38" xfId="0" applyNumberFormat="1" applyFont="1" applyFill="1" applyBorder="1" applyAlignment="1">
      <alignment vertical="center" wrapText="1" readingOrder="1"/>
    </xf>
    <xf numFmtId="49" fontId="20" fillId="0" borderId="29" xfId="0" applyNumberFormat="1" applyFont="1" applyFill="1" applyBorder="1" applyAlignment="1">
      <alignment vertical="center" wrapText="1" readingOrder="1"/>
    </xf>
    <xf numFmtId="49" fontId="20" fillId="0" borderId="20" xfId="0" applyNumberFormat="1" applyFont="1" applyFill="1" applyBorder="1" applyAlignment="1">
      <alignment vertical="center" wrapText="1" readingOrder="1"/>
    </xf>
    <xf numFmtId="0" fontId="21" fillId="0" borderId="5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0" fontId="20" fillId="0" borderId="37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4" fontId="20" fillId="0" borderId="6" xfId="0" applyNumberFormat="1" applyFont="1" applyFill="1" applyBorder="1" applyAlignment="1">
      <alignment horizontal="center" vertical="top" wrapText="1" readingOrder="1"/>
    </xf>
    <xf numFmtId="0" fontId="0" fillId="4" borderId="1" xfId="0" applyFill="1" applyBorder="1"/>
    <xf numFmtId="2" fontId="0" fillId="4" borderId="1" xfId="0" applyNumberFormat="1" applyFill="1" applyBorder="1"/>
    <xf numFmtId="0" fontId="10" fillId="0" borderId="2" xfId="0" applyFont="1" applyFill="1" applyBorder="1" applyAlignment="1">
      <alignment horizontal="center" vertical="top" wrapText="1"/>
    </xf>
    <xf numFmtId="4" fontId="7" fillId="0" borderId="33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23" fillId="0" borderId="6" xfId="0" applyNumberFormat="1" applyFont="1" applyFill="1" applyBorder="1" applyAlignment="1">
      <alignment horizontal="center" vertical="center" wrapText="1"/>
    </xf>
    <xf numFmtId="4" fontId="23" fillId="2" borderId="6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1" xfId="0" applyBorder="1" applyAlignment="1">
      <alignment wrapText="1"/>
    </xf>
    <xf numFmtId="2" fontId="7" fillId="5" borderId="33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 readingOrder="1"/>
    </xf>
    <xf numFmtId="164" fontId="20" fillId="0" borderId="19" xfId="0" applyNumberFormat="1" applyFont="1" applyFill="1" applyBorder="1" applyAlignment="1">
      <alignment horizontal="center" vertical="center" wrapText="1" readingOrder="1"/>
    </xf>
    <xf numFmtId="49" fontId="20" fillId="0" borderId="2" xfId="0" applyNumberFormat="1" applyFont="1" applyFill="1" applyBorder="1" applyAlignment="1">
      <alignment horizontal="center" vertical="top" wrapText="1" readingOrder="1"/>
    </xf>
    <xf numFmtId="49" fontId="20" fillId="0" borderId="19" xfId="0" applyNumberFormat="1" applyFont="1" applyFill="1" applyBorder="1" applyAlignment="1">
      <alignment horizontal="center" vertical="top" wrapText="1" readingOrder="1"/>
    </xf>
    <xf numFmtId="49" fontId="20" fillId="0" borderId="6" xfId="0" applyNumberFormat="1" applyFont="1" applyFill="1" applyBorder="1" applyAlignment="1">
      <alignment horizontal="center" vertical="top" wrapText="1" readingOrder="1"/>
    </xf>
    <xf numFmtId="0" fontId="10" fillId="0" borderId="2" xfId="0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center" wrapText="1" readingOrder="1"/>
    </xf>
    <xf numFmtId="49" fontId="20" fillId="0" borderId="19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7" fillId="5" borderId="30" xfId="0" applyNumberFormat="1" applyFont="1" applyFill="1" applyBorder="1" applyAlignment="1">
      <alignment horizontal="center" vertical="center" wrapText="1"/>
    </xf>
    <xf numFmtId="2" fontId="7" fillId="5" borderId="19" xfId="0" applyNumberFormat="1" applyFont="1" applyFill="1" applyBorder="1" applyAlignment="1">
      <alignment horizontal="center" vertical="center" wrapText="1"/>
    </xf>
    <xf numFmtId="2" fontId="7" fillId="5" borderId="40" xfId="0" applyNumberFormat="1" applyFont="1" applyFill="1" applyBorder="1" applyAlignment="1">
      <alignment horizontal="center" vertical="center" wrapText="1"/>
    </xf>
    <xf numFmtId="1" fontId="10" fillId="5" borderId="7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center" vertical="center" wrapText="1"/>
    </xf>
    <xf numFmtId="0" fontId="10" fillId="5" borderId="30" xfId="0" applyNumberFormat="1" applyFont="1" applyFill="1" applyBorder="1" applyAlignment="1">
      <alignment horizontal="center" vertical="center" wrapText="1"/>
    </xf>
    <xf numFmtId="0" fontId="10" fillId="5" borderId="19" xfId="0" applyNumberFormat="1" applyFont="1" applyFill="1" applyBorder="1" applyAlignment="1">
      <alignment horizontal="center" vertical="center" wrapText="1"/>
    </xf>
    <xf numFmtId="0" fontId="10" fillId="5" borderId="40" xfId="0" applyNumberFormat="1" applyFont="1" applyFill="1" applyBorder="1" applyAlignment="1">
      <alignment horizontal="center" vertical="center" wrapText="1"/>
    </xf>
    <xf numFmtId="2" fontId="7" fillId="5" borderId="33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5" borderId="13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10" fillId="5" borderId="43" xfId="0" applyNumberFormat="1" applyFont="1" applyFill="1" applyBorder="1" applyAlignment="1">
      <alignment horizontal="center" vertical="center" wrapText="1"/>
    </xf>
    <xf numFmtId="1" fontId="10" fillId="5" borderId="44" xfId="0" applyNumberFormat="1" applyFont="1" applyFill="1" applyBorder="1" applyAlignment="1">
      <alignment horizontal="center" vertical="center" wrapText="1"/>
    </xf>
    <xf numFmtId="1" fontId="10" fillId="5" borderId="45" xfId="0" applyNumberFormat="1" applyFont="1" applyFill="1" applyBorder="1" applyAlignment="1">
      <alignment horizontal="center" vertical="center" wrapText="1"/>
    </xf>
    <xf numFmtId="0" fontId="10" fillId="5" borderId="33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5" borderId="13" xfId="0" applyNumberFormat="1" applyFont="1" applyFill="1" applyBorder="1" applyAlignment="1">
      <alignment horizontal="center" vertical="center" wrapText="1"/>
    </xf>
    <xf numFmtId="2" fontId="7" fillId="5" borderId="46" xfId="0" applyNumberFormat="1" applyFont="1" applyFill="1" applyBorder="1" applyAlignment="1">
      <alignment horizontal="center" vertical="center" wrapText="1"/>
    </xf>
    <xf numFmtId="2" fontId="7" fillId="5" borderId="29" xfId="0" applyNumberFormat="1" applyFont="1" applyFill="1" applyBorder="1" applyAlignment="1">
      <alignment horizontal="center" vertical="center" wrapText="1"/>
    </xf>
    <xf numFmtId="2" fontId="7" fillId="5" borderId="47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textRotation="90" wrapText="1"/>
    </xf>
    <xf numFmtId="0" fontId="10" fillId="0" borderId="19" xfId="0" applyNumberFormat="1" applyFont="1" applyFill="1" applyBorder="1" applyAlignment="1">
      <alignment horizontal="center" vertical="center" textRotation="90" wrapText="1"/>
    </xf>
    <xf numFmtId="0" fontId="10" fillId="0" borderId="40" xfId="0" applyNumberFormat="1" applyFont="1" applyFill="1" applyBorder="1" applyAlignment="1">
      <alignment horizontal="center" vertical="center" textRotation="90" wrapText="1"/>
    </xf>
    <xf numFmtId="2" fontId="10" fillId="0" borderId="46" xfId="0" applyNumberFormat="1" applyFont="1" applyFill="1" applyBorder="1" applyAlignment="1">
      <alignment horizontal="center" vertical="center" wrapText="1"/>
    </xf>
    <xf numFmtId="2" fontId="10" fillId="0" borderId="29" xfId="0" applyNumberFormat="1" applyFont="1" applyFill="1" applyBorder="1" applyAlignment="1">
      <alignment horizontal="center" vertical="center" wrapText="1"/>
    </xf>
    <xf numFmtId="2" fontId="10" fillId="0" borderId="47" xfId="0" applyNumberFormat="1" applyFont="1" applyFill="1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164" fontId="7" fillId="2" borderId="50" xfId="0" applyNumberFormat="1" applyFont="1" applyFill="1" applyBorder="1" applyAlignment="1">
      <alignment horizontal="left" vertical="center"/>
    </xf>
    <xf numFmtId="164" fontId="7" fillId="2" borderId="39" xfId="0" applyNumberFormat="1" applyFont="1" applyFill="1" applyBorder="1" applyAlignment="1">
      <alignment horizontal="left" vertical="center"/>
    </xf>
    <xf numFmtId="164" fontId="7" fillId="2" borderId="23" xfId="0" applyNumberFormat="1" applyFont="1" applyFill="1" applyBorder="1" applyAlignment="1">
      <alignment horizontal="left" vertical="center"/>
    </xf>
    <xf numFmtId="164" fontId="10" fillId="0" borderId="50" xfId="0" applyNumberFormat="1" applyFont="1" applyBorder="1" applyAlignment="1">
      <alignment horizontal="center" vertical="top" wrapText="1"/>
    </xf>
    <xf numFmtId="164" fontId="10" fillId="0" borderId="39" xfId="0" applyNumberFormat="1" applyFont="1" applyBorder="1" applyAlignment="1">
      <alignment horizontal="center" vertical="top" wrapText="1"/>
    </xf>
    <xf numFmtId="164" fontId="10" fillId="0" borderId="23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 wrapText="1"/>
    </xf>
    <xf numFmtId="0" fontId="16" fillId="2" borderId="38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>
      <alignment horizontal="center" vertical="top" wrapText="1" readingOrder="1"/>
    </xf>
    <xf numFmtId="49" fontId="10" fillId="0" borderId="19" xfId="0" applyNumberFormat="1" applyFont="1" applyFill="1" applyBorder="1" applyAlignment="1">
      <alignment horizontal="center" vertical="top" wrapText="1" readingOrder="1"/>
    </xf>
    <xf numFmtId="49" fontId="10" fillId="0" borderId="6" xfId="0" applyNumberFormat="1" applyFont="1" applyFill="1" applyBorder="1" applyAlignment="1">
      <alignment horizontal="center" vertical="top" wrapText="1" readingOrder="1"/>
    </xf>
    <xf numFmtId="49" fontId="10" fillId="0" borderId="2" xfId="0" applyNumberFormat="1" applyFont="1" applyFill="1" applyBorder="1" applyAlignment="1">
      <alignment horizontal="left" vertical="top" wrapText="1" readingOrder="1"/>
    </xf>
    <xf numFmtId="49" fontId="10" fillId="0" borderId="19" xfId="0" applyNumberFormat="1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horizontal="center" vertical="top" wrapText="1" readingOrder="1"/>
    </xf>
    <xf numFmtId="0" fontId="10" fillId="0" borderId="19" xfId="0" applyFont="1" applyFill="1" applyBorder="1" applyAlignment="1">
      <alignment horizontal="center" vertical="top" wrapText="1" readingOrder="1"/>
    </xf>
    <xf numFmtId="0" fontId="10" fillId="0" borderId="6" xfId="0" applyFont="1" applyFill="1" applyBorder="1" applyAlignment="1">
      <alignment horizontal="center" vertical="top" wrapText="1" readingOrder="1"/>
    </xf>
    <xf numFmtId="49" fontId="10" fillId="0" borderId="2" xfId="0" applyNumberFormat="1" applyFont="1" applyFill="1" applyBorder="1" applyAlignment="1">
      <alignment horizontal="left" vertical="center" wrapText="1" readingOrder="1"/>
    </xf>
    <xf numFmtId="49" fontId="10" fillId="0" borderId="19" xfId="0" applyNumberFormat="1" applyFont="1" applyFill="1" applyBorder="1" applyAlignment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19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horizontal="center" vertical="center" wrapText="1" readingOrder="1"/>
    </xf>
    <xf numFmtId="49" fontId="20" fillId="0" borderId="2" xfId="0" applyNumberFormat="1" applyFont="1" applyFill="1" applyBorder="1" applyAlignment="1">
      <alignment horizontal="left" vertical="center" wrapText="1" readingOrder="1"/>
    </xf>
    <xf numFmtId="49" fontId="20" fillId="0" borderId="19" xfId="0" applyNumberFormat="1" applyFont="1" applyFill="1" applyBorder="1" applyAlignment="1">
      <alignment horizontal="left" vertical="center" wrapText="1" readingOrder="1"/>
    </xf>
    <xf numFmtId="49" fontId="20" fillId="0" borderId="6" xfId="0" applyNumberFormat="1" applyFont="1" applyFill="1" applyBorder="1" applyAlignment="1">
      <alignment horizontal="left" vertical="center" wrapText="1" readingOrder="1"/>
    </xf>
    <xf numFmtId="164" fontId="20" fillId="0" borderId="2" xfId="0" applyNumberFormat="1" applyFont="1" applyFill="1" applyBorder="1" applyAlignment="1">
      <alignment horizontal="center" vertical="center" wrapText="1" readingOrder="1"/>
    </xf>
    <xf numFmtId="164" fontId="20" fillId="0" borderId="19" xfId="0" applyNumberFormat="1" applyFont="1" applyFill="1" applyBorder="1" applyAlignment="1">
      <alignment horizontal="center" vertical="center" wrapText="1" readingOrder="1"/>
    </xf>
    <xf numFmtId="164" fontId="20" fillId="0" borderId="6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top" wrapText="1"/>
    </xf>
    <xf numFmtId="164" fontId="10" fillId="4" borderId="2" xfId="0" applyNumberFormat="1" applyFont="1" applyFill="1" applyBorder="1" applyAlignment="1">
      <alignment horizontal="center" vertical="center" wrapText="1" readingOrder="1"/>
    </xf>
    <xf numFmtId="164" fontId="10" fillId="4" borderId="6" xfId="0" applyNumberFormat="1" applyFont="1" applyFill="1" applyBorder="1" applyAlignment="1">
      <alignment horizontal="center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49" fontId="10" fillId="0" borderId="19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19" xfId="0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 readingOrder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6" xfId="0" applyFont="1" applyFill="1" applyBorder="1" applyAlignment="1">
      <alignment horizontal="left" vertical="top" wrapText="1" readingOrder="1"/>
    </xf>
    <xf numFmtId="0" fontId="0" fillId="0" borderId="19" xfId="0" applyFill="1" applyBorder="1" applyAlignment="1">
      <alignment horizontal="left" vertical="top" wrapText="1" readingOrder="1"/>
    </xf>
    <xf numFmtId="0" fontId="0" fillId="0" borderId="6" xfId="0" applyFill="1" applyBorder="1" applyAlignment="1">
      <alignment horizontal="left" vertical="top" wrapText="1" readingOrder="1"/>
    </xf>
    <xf numFmtId="49" fontId="10" fillId="0" borderId="1" xfId="0" applyNumberFormat="1" applyFont="1" applyFill="1" applyBorder="1" applyAlignment="1">
      <alignment horizontal="center" vertical="center" wrapText="1" readingOrder="1"/>
    </xf>
    <xf numFmtId="0" fontId="0" fillId="0" borderId="19" xfId="0" applyFont="1" applyFill="1" applyBorder="1" applyAlignment="1">
      <alignment horizontal="left" vertical="top" wrapText="1" readingOrder="1"/>
    </xf>
    <xf numFmtId="0" fontId="0" fillId="0" borderId="6" xfId="0" applyFont="1" applyFill="1" applyBorder="1" applyAlignment="1">
      <alignment horizontal="left" vertical="top" wrapText="1" readingOrder="1"/>
    </xf>
    <xf numFmtId="0" fontId="10" fillId="0" borderId="6" xfId="0" applyFont="1" applyFill="1" applyBorder="1" applyAlignment="1">
      <alignment horizontal="center" vertical="top" wrapText="1"/>
    </xf>
    <xf numFmtId="49" fontId="20" fillId="0" borderId="36" xfId="0" applyNumberFormat="1" applyFont="1" applyFill="1" applyBorder="1" applyAlignment="1">
      <alignment horizontal="center" vertical="center" wrapText="1" readingOrder="1"/>
    </xf>
    <xf numFmtId="49" fontId="20" fillId="0" borderId="22" xfId="0" applyNumberFormat="1" applyFont="1" applyFill="1" applyBorder="1" applyAlignment="1">
      <alignment horizontal="center" vertical="center" wrapText="1" readingOrder="1"/>
    </xf>
    <xf numFmtId="49" fontId="20" fillId="0" borderId="0" xfId="0" applyNumberFormat="1" applyFont="1" applyFill="1" applyBorder="1" applyAlignment="1">
      <alignment horizontal="center" vertical="center" wrapText="1" readingOrder="1"/>
    </xf>
    <xf numFmtId="49" fontId="20" fillId="0" borderId="29" xfId="0" applyNumberFormat="1" applyFont="1" applyFill="1" applyBorder="1" applyAlignment="1">
      <alignment horizontal="center" vertical="center" wrapText="1" readingOrder="1"/>
    </xf>
    <xf numFmtId="49" fontId="20" fillId="0" borderId="38" xfId="0" applyNumberFormat="1" applyFont="1" applyFill="1" applyBorder="1" applyAlignment="1">
      <alignment horizontal="center" vertical="center" wrapText="1" readingOrder="1"/>
    </xf>
    <xf numFmtId="49" fontId="20" fillId="0" borderId="20" xfId="0" applyNumberFormat="1" applyFont="1" applyFill="1" applyBorder="1" applyAlignment="1">
      <alignment horizontal="center" vertical="center" wrapText="1" readingOrder="1"/>
    </xf>
    <xf numFmtId="49" fontId="20" fillId="0" borderId="2" xfId="0" applyNumberFormat="1" applyFont="1" applyFill="1" applyBorder="1" applyAlignment="1">
      <alignment horizontal="center" vertical="center" wrapText="1" readingOrder="1"/>
    </xf>
    <xf numFmtId="49" fontId="20" fillId="0" borderId="19" xfId="0" applyNumberFormat="1" applyFont="1" applyFill="1" applyBorder="1" applyAlignment="1">
      <alignment horizontal="center" vertical="center" wrapText="1" readingOrder="1"/>
    </xf>
    <xf numFmtId="49" fontId="20" fillId="0" borderId="6" xfId="0" applyNumberFormat="1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center" vertical="center" wrapText="1" readingOrder="1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6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left" vertical="center" wrapText="1" readingOrder="1"/>
    </xf>
    <xf numFmtId="0" fontId="20" fillId="0" borderId="19" xfId="0" applyFont="1" applyFill="1" applyBorder="1" applyAlignment="1">
      <alignment horizontal="left" vertical="center" wrapText="1" readingOrder="1"/>
    </xf>
    <xf numFmtId="0" fontId="20" fillId="0" borderId="6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 readingOrder="1"/>
    </xf>
    <xf numFmtId="0" fontId="0" fillId="0" borderId="6" xfId="0" applyFill="1" applyBorder="1" applyAlignment="1">
      <alignment horizontal="center" vertical="top" wrapText="1" readingOrder="1"/>
    </xf>
    <xf numFmtId="0" fontId="10" fillId="0" borderId="5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horizontal="center" wrapText="1" readingOrder="1"/>
    </xf>
    <xf numFmtId="49" fontId="10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vertical="top" wrapText="1" readingOrder="1"/>
    </xf>
    <xf numFmtId="0" fontId="17" fillId="0" borderId="0" xfId="0" applyFont="1" applyFill="1" applyBorder="1" applyAlignment="1">
      <alignment horizontal="right" vertical="top" wrapText="1" readingOrder="1"/>
    </xf>
    <xf numFmtId="0" fontId="7" fillId="0" borderId="50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center" wrapText="1" readingOrder="1"/>
    </xf>
    <xf numFmtId="49" fontId="20" fillId="0" borderId="2" xfId="0" applyNumberFormat="1" applyFont="1" applyFill="1" applyBorder="1" applyAlignment="1">
      <alignment horizontal="center" vertical="top" wrapText="1" readingOrder="1"/>
    </xf>
    <xf numFmtId="49" fontId="20" fillId="0" borderId="19" xfId="0" applyNumberFormat="1" applyFont="1" applyFill="1" applyBorder="1" applyAlignment="1">
      <alignment horizontal="center" vertical="top" wrapText="1" readingOrder="1"/>
    </xf>
    <xf numFmtId="49" fontId="20" fillId="0" borderId="6" xfId="0" applyNumberFormat="1" applyFont="1" applyFill="1" applyBorder="1" applyAlignment="1">
      <alignment horizontal="center" vertical="top" wrapText="1" readingOrder="1"/>
    </xf>
    <xf numFmtId="0" fontId="20" fillId="0" borderId="2" xfId="0" applyFont="1" applyFill="1" applyBorder="1" applyAlignment="1">
      <alignment horizontal="left" vertical="top" wrapText="1" readingOrder="1"/>
    </xf>
    <xf numFmtId="0" fontId="20" fillId="0" borderId="19" xfId="0" applyFont="1" applyFill="1" applyBorder="1" applyAlignment="1">
      <alignment horizontal="left" vertical="top" wrapText="1" readingOrder="1"/>
    </xf>
    <xf numFmtId="0" fontId="20" fillId="0" borderId="6" xfId="0" applyFont="1" applyFill="1" applyBorder="1" applyAlignment="1">
      <alignment horizontal="left" vertical="top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 readingOrder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0" fillId="0" borderId="50" xfId="0" applyFont="1" applyBorder="1" applyAlignment="1">
      <alignment horizontal="left" vertical="center" wrapText="1" readingOrder="1"/>
    </xf>
    <xf numFmtId="0" fontId="0" fillId="0" borderId="50" xfId="0" applyBorder="1" applyAlignment="1">
      <alignment horizontal="left" vertical="center" wrapText="1" readingOrder="1"/>
    </xf>
    <xf numFmtId="0" fontId="7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7" fillId="0" borderId="3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left" vertical="center" wrapText="1" readingOrder="1"/>
    </xf>
    <xf numFmtId="0" fontId="7" fillId="0" borderId="1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 readingOrder="1"/>
    </xf>
    <xf numFmtId="0" fontId="0" fillId="0" borderId="19" xfId="0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left" vertical="top" wrapText="1" readingOrder="1"/>
    </xf>
    <xf numFmtId="0" fontId="0" fillId="0" borderId="19" xfId="0" applyBorder="1" applyAlignment="1">
      <alignment vertical="top" wrapText="1"/>
    </xf>
    <xf numFmtId="0" fontId="10" fillId="0" borderId="2" xfId="0" applyFont="1" applyBorder="1" applyAlignment="1">
      <alignment horizontal="center" vertical="top" wrapText="1" readingOrder="1"/>
    </xf>
    <xf numFmtId="49" fontId="10" fillId="0" borderId="2" xfId="0" applyNumberFormat="1" applyFont="1" applyBorder="1" applyAlignment="1">
      <alignment horizontal="left" vertical="center" wrapText="1" readingOrder="1"/>
    </xf>
    <xf numFmtId="0" fontId="0" fillId="0" borderId="19" xfId="0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 readingOrder="1"/>
    </xf>
    <xf numFmtId="0" fontId="0" fillId="0" borderId="19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vertical="center" wrapText="1" readingOrder="1"/>
    </xf>
    <xf numFmtId="49" fontId="7" fillId="0" borderId="38" xfId="0" applyNumberFormat="1" applyFont="1" applyBorder="1" applyAlignment="1">
      <alignment horizontal="left" vertical="center" wrapText="1" readingOrder="1"/>
    </xf>
    <xf numFmtId="49" fontId="7" fillId="0" borderId="20" xfId="0" applyNumberFormat="1" applyFont="1" applyBorder="1" applyAlignment="1">
      <alignment horizontal="left" vertical="center" wrapText="1" readingOrder="1"/>
    </xf>
    <xf numFmtId="164" fontId="7" fillId="0" borderId="34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 readingOrder="1"/>
    </xf>
    <xf numFmtId="0" fontId="0" fillId="0" borderId="23" xfId="0" applyBorder="1" applyAlignment="1">
      <alignment horizontal="left" vertical="center" wrapText="1" readingOrder="1"/>
    </xf>
    <xf numFmtId="0" fontId="0" fillId="0" borderId="19" xfId="0" applyBorder="1" applyAlignment="1">
      <alignment vertical="center" wrapText="1" readingOrder="1"/>
    </xf>
    <xf numFmtId="0" fontId="0" fillId="0" borderId="6" xfId="0" applyBorder="1" applyAlignment="1">
      <alignment vertical="center" wrapText="1" readingOrder="1"/>
    </xf>
    <xf numFmtId="0" fontId="0" fillId="0" borderId="19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0" fillId="0" borderId="6" xfId="0" applyNumberFormat="1" applyFont="1" applyBorder="1" applyAlignment="1">
      <alignment horizontal="center" vertical="center" wrapText="1" readingOrder="1"/>
    </xf>
    <xf numFmtId="0" fontId="0" fillId="0" borderId="19" xfId="0" applyBorder="1" applyAlignment="1">
      <alignment horizontal="left" wrapText="1" readingOrder="1"/>
    </xf>
    <xf numFmtId="0" fontId="0" fillId="0" borderId="6" xfId="0" applyBorder="1" applyAlignment="1">
      <alignment horizontal="left" wrapText="1" readingOrder="1"/>
    </xf>
    <xf numFmtId="164" fontId="10" fillId="0" borderId="19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center" wrapText="1" readingOrder="1"/>
    </xf>
    <xf numFmtId="0" fontId="0" fillId="0" borderId="6" xfId="0" applyBorder="1" applyAlignment="1">
      <alignment horizontal="center" wrapText="1" readingOrder="1"/>
    </xf>
    <xf numFmtId="49" fontId="10" fillId="0" borderId="1" xfId="0" applyNumberFormat="1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wrapText="1" readingOrder="1"/>
    </xf>
    <xf numFmtId="0" fontId="0" fillId="0" borderId="1" xfId="0" applyBorder="1" applyAlignment="1">
      <alignment wrapText="1"/>
    </xf>
    <xf numFmtId="0" fontId="0" fillId="0" borderId="19" xfId="0" applyBorder="1" applyAlignment="1">
      <alignment horizontal="center" vertical="center" wrapText="1" readingOrder="1"/>
    </xf>
    <xf numFmtId="0" fontId="0" fillId="0" borderId="6" xfId="0" applyBorder="1" applyAlignment="1">
      <alignment horizontal="center" vertical="center" wrapText="1" readingOrder="1"/>
    </xf>
    <xf numFmtId="49" fontId="10" fillId="0" borderId="1" xfId="0" applyNumberFormat="1" applyFont="1" applyBorder="1" applyAlignment="1">
      <alignment horizontal="left" vertical="center" wrapText="1" readingOrder="1"/>
    </xf>
    <xf numFmtId="49" fontId="10" fillId="0" borderId="1" xfId="0" applyNumberFormat="1" applyFont="1" applyBorder="1" applyAlignment="1">
      <alignment horizontal="center" vertical="center" wrapText="1" readingOrder="1"/>
    </xf>
    <xf numFmtId="49" fontId="0" fillId="0" borderId="1" xfId="0" applyNumberFormat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left" vertical="center" wrapText="1" readingOrder="1"/>
    </xf>
    <xf numFmtId="49" fontId="7" fillId="0" borderId="39" xfId="0" applyNumberFormat="1" applyFont="1" applyBorder="1" applyAlignment="1">
      <alignment horizontal="left" vertical="center" wrapText="1" readingOrder="1"/>
    </xf>
    <xf numFmtId="49" fontId="7" fillId="0" borderId="23" xfId="0" applyNumberFormat="1" applyFont="1" applyBorder="1" applyAlignment="1">
      <alignment horizontal="left" vertical="center" wrapText="1" readingOrder="1"/>
    </xf>
    <xf numFmtId="0" fontId="0" fillId="0" borderId="19" xfId="0" applyBorder="1" applyAlignment="1">
      <alignment horizontal="left" vertical="center" wrapText="1" readingOrder="1"/>
    </xf>
    <xf numFmtId="0" fontId="0" fillId="0" borderId="6" xfId="0" applyBorder="1" applyAlignment="1">
      <alignment horizontal="left" vertical="center" wrapText="1" readingOrder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center" vertical="center" wrapText="1" readingOrder="1"/>
    </xf>
    <xf numFmtId="49" fontId="10" fillId="0" borderId="22" xfId="0" applyNumberFormat="1" applyFont="1" applyBorder="1" applyAlignment="1">
      <alignment horizontal="center" vertical="top" wrapText="1" readingOrder="1"/>
    </xf>
    <xf numFmtId="49" fontId="10" fillId="0" borderId="20" xfId="0" applyNumberFormat="1" applyFont="1" applyBorder="1" applyAlignment="1">
      <alignment horizontal="center" vertical="top" wrapText="1" readingOrder="1"/>
    </xf>
    <xf numFmtId="164" fontId="10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19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49" fontId="10" fillId="0" borderId="19" xfId="0" applyNumberFormat="1" applyFont="1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6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164" fontId="7" fillId="0" borderId="6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top" wrapText="1" readingOrder="1"/>
    </xf>
    <xf numFmtId="0" fontId="0" fillId="0" borderId="19" xfId="0" applyBorder="1" applyAlignment="1">
      <alignment horizontal="center" vertical="top" wrapText="1" readingOrder="1"/>
    </xf>
    <xf numFmtId="0" fontId="0" fillId="0" borderId="6" xfId="0" applyBorder="1" applyAlignment="1">
      <alignment horizontal="center" vertical="top" wrapText="1" readingOrder="1"/>
    </xf>
    <xf numFmtId="0" fontId="0" fillId="0" borderId="19" xfId="0" applyBorder="1" applyAlignment="1">
      <alignment horizontal="left" vertical="top" wrapText="1" readingOrder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164" fontId="10" fillId="2" borderId="19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top" wrapText="1" readingOrder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10" fillId="0" borderId="6" xfId="0" applyNumberFormat="1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 readingOrder="1"/>
    </xf>
    <xf numFmtId="164" fontId="7" fillId="2" borderId="19" xfId="0" applyNumberFormat="1" applyFont="1" applyFill="1" applyBorder="1" applyAlignment="1">
      <alignment horizontal="center" vertical="center" wrapText="1" readingOrder="1"/>
    </xf>
    <xf numFmtId="164" fontId="7" fillId="2" borderId="6" xfId="0" applyNumberFormat="1" applyFont="1" applyFill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 readingOrder="1"/>
    </xf>
    <xf numFmtId="164" fontId="10" fillId="2" borderId="2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 wrapText="1" readingOrder="1"/>
    </xf>
    <xf numFmtId="0" fontId="10" fillId="0" borderId="36" xfId="0" applyFont="1" applyBorder="1" applyAlignment="1">
      <alignment horizontal="lef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0" fontId="0" fillId="0" borderId="38" xfId="0" applyBorder="1" applyAlignment="1">
      <alignment horizontal="left" vertical="center" wrapText="1" readingOrder="1"/>
    </xf>
    <xf numFmtId="0" fontId="0" fillId="0" borderId="50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 readingOrder="1"/>
    </xf>
    <xf numFmtId="0" fontId="0" fillId="0" borderId="6" xfId="0" applyFill="1" applyBorder="1" applyAlignment="1">
      <alignment horizontal="center" vertical="center" wrapText="1" readingOrder="1"/>
    </xf>
    <xf numFmtId="0" fontId="0" fillId="0" borderId="6" xfId="0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 readingOrder="1"/>
    </xf>
    <xf numFmtId="0" fontId="0" fillId="0" borderId="19" xfId="0" applyFill="1" applyBorder="1" applyAlignment="1">
      <alignment horizontal="left" vertical="center" wrapText="1" readingOrder="1"/>
    </xf>
    <xf numFmtId="0" fontId="0" fillId="0" borderId="6" xfId="0" applyFill="1" applyBorder="1" applyAlignment="1">
      <alignment horizontal="left" vertical="center" wrapText="1" readingOrder="1"/>
    </xf>
    <xf numFmtId="0" fontId="0" fillId="0" borderId="19" xfId="0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top" wrapText="1" readingOrder="1"/>
    </xf>
    <xf numFmtId="0" fontId="0" fillId="0" borderId="6" xfId="0" applyFill="1" applyBorder="1" applyAlignment="1">
      <alignment vertical="top" wrapText="1" readingOrder="1"/>
    </xf>
    <xf numFmtId="0" fontId="0" fillId="0" borderId="19" xfId="0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 readingOrder="1"/>
    </xf>
    <xf numFmtId="49" fontId="10" fillId="0" borderId="2" xfId="0" applyNumberFormat="1" applyFont="1" applyBorder="1" applyAlignment="1">
      <alignment vertical="top" wrapText="1" readingOrder="1"/>
    </xf>
    <xf numFmtId="49" fontId="10" fillId="0" borderId="2" xfId="0" applyNumberFormat="1" applyFont="1" applyFill="1" applyBorder="1" applyAlignment="1">
      <alignment vertical="top" wrapText="1" readingOrder="1"/>
    </xf>
    <xf numFmtId="0" fontId="0" fillId="0" borderId="19" xfId="0" applyBorder="1" applyAlignment="1">
      <alignment vertical="top" wrapText="1" readingOrder="1"/>
    </xf>
    <xf numFmtId="49" fontId="0" fillId="0" borderId="19" xfId="0" applyNumberFormat="1" applyFill="1" applyBorder="1" applyAlignment="1">
      <alignment horizontal="center" vertical="center" wrapText="1" readingOrder="1"/>
    </xf>
    <xf numFmtId="49" fontId="0" fillId="0" borderId="6" xfId="0" applyNumberFormat="1" applyFill="1" applyBorder="1" applyAlignment="1">
      <alignment horizontal="center" vertical="center" wrapText="1" readingOrder="1"/>
    </xf>
    <xf numFmtId="0" fontId="7" fillId="0" borderId="19" xfId="0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 readingOrder="1"/>
    </xf>
    <xf numFmtId="164" fontId="7" fillId="0" borderId="6" xfId="0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 readingOrder="1"/>
    </xf>
    <xf numFmtId="0" fontId="0" fillId="0" borderId="1" xfId="0" applyFill="1" applyBorder="1" applyAlignment="1">
      <alignment horizontal="left" vertical="top" wrapText="1" readingOrder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 readingOrder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 readingOrder="1"/>
    </xf>
    <xf numFmtId="49" fontId="7" fillId="0" borderId="37" xfId="0" applyNumberFormat="1" applyFont="1" applyFill="1" applyBorder="1" applyAlignment="1">
      <alignment horizontal="left" vertical="center" wrapText="1" readingOrder="1"/>
    </xf>
    <xf numFmtId="49" fontId="7" fillId="0" borderId="0" xfId="0" applyNumberFormat="1" applyFont="1" applyFill="1" applyBorder="1" applyAlignment="1">
      <alignment horizontal="left" vertical="center" wrapText="1" readingOrder="1"/>
    </xf>
    <xf numFmtId="49" fontId="7" fillId="0" borderId="29" xfId="0" applyNumberFormat="1" applyFont="1" applyFill="1" applyBorder="1" applyAlignment="1">
      <alignment horizontal="left" vertical="center" wrapText="1" readingOrder="1"/>
    </xf>
    <xf numFmtId="0" fontId="0" fillId="0" borderId="1" xfId="0" applyFill="1" applyBorder="1" applyAlignment="1">
      <alignment wrapText="1"/>
    </xf>
    <xf numFmtId="0" fontId="0" fillId="0" borderId="19" xfId="0" applyFill="1" applyBorder="1" applyAlignment="1">
      <alignment vertical="center" wrapText="1" readingOrder="1"/>
    </xf>
    <xf numFmtId="0" fontId="0" fillId="0" borderId="6" xfId="0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19" xfId="0" applyFill="1" applyBorder="1" applyAlignment="1">
      <alignment wrapText="1"/>
    </xf>
    <xf numFmtId="0" fontId="0" fillId="0" borderId="6" xfId="0" applyFill="1" applyBorder="1" applyAlignment="1">
      <alignment wrapText="1"/>
    </xf>
    <xf numFmtId="49" fontId="10" fillId="0" borderId="2" xfId="4" applyNumberFormat="1" applyFont="1" applyFill="1" applyBorder="1" applyAlignment="1">
      <alignment horizontal="center" vertical="center" wrapText="1" readingOrder="1"/>
    </xf>
    <xf numFmtId="0" fontId="10" fillId="0" borderId="22" xfId="0" applyFont="1" applyFill="1" applyBorder="1" applyAlignment="1">
      <alignment horizontal="left" vertical="center" wrapText="1" readingOrder="1"/>
    </xf>
    <xf numFmtId="0" fontId="10" fillId="0" borderId="29" xfId="0" applyFont="1" applyFill="1" applyBorder="1" applyAlignment="1">
      <alignment horizontal="left" vertical="center" wrapText="1" readingOrder="1"/>
    </xf>
    <xf numFmtId="0" fontId="10" fillId="0" borderId="20" xfId="0" applyFont="1" applyFill="1" applyBorder="1" applyAlignment="1">
      <alignment horizontal="left" vertical="center" wrapText="1" readingOrder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7" fillId="4" borderId="33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19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7" fillId="0" borderId="19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/>
    <xf numFmtId="0" fontId="0" fillId="0" borderId="19" xfId="0" applyBorder="1" applyAlignment="1">
      <alignment horizontal="center" wrapText="1"/>
    </xf>
    <xf numFmtId="0" fontId="10" fillId="0" borderId="40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 readingOrder="1"/>
    </xf>
    <xf numFmtId="164" fontId="7" fillId="0" borderId="33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34" xfId="0" applyNumberFormat="1" applyFont="1" applyFill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 readingOrder="1"/>
    </xf>
    <xf numFmtId="0" fontId="0" fillId="0" borderId="37" xfId="0" applyFill="1" applyBorder="1" applyAlignment="1">
      <alignment horizontal="center" vertical="top" wrapText="1" readingOrder="1"/>
    </xf>
    <xf numFmtId="0" fontId="10" fillId="0" borderId="36" xfId="0" applyFont="1" applyFill="1" applyBorder="1" applyAlignment="1">
      <alignment horizontal="center" vertical="top" wrapText="1" readingOrder="1"/>
    </xf>
    <xf numFmtId="0" fontId="0" fillId="0" borderId="0" xfId="0" applyFill="1" applyBorder="1" applyAlignment="1">
      <alignment horizontal="center" vertical="top" wrapText="1" readingOrder="1"/>
    </xf>
    <xf numFmtId="0" fontId="0" fillId="0" borderId="38" xfId="0" applyFill="1" applyBorder="1" applyAlignment="1">
      <alignment horizontal="center" vertical="top" wrapText="1" readingOrder="1"/>
    </xf>
    <xf numFmtId="0" fontId="0" fillId="0" borderId="21" xfId="0" applyFill="1" applyBorder="1" applyAlignment="1">
      <alignment horizontal="center" vertical="top" wrapText="1" readingOrder="1"/>
    </xf>
    <xf numFmtId="0" fontId="7" fillId="0" borderId="50" xfId="0" applyFont="1" applyFill="1" applyBorder="1" applyAlignment="1">
      <alignment horizontal="left" vertical="top" wrapText="1" readingOrder="1"/>
    </xf>
    <xf numFmtId="0" fontId="7" fillId="0" borderId="39" xfId="0" applyFont="1" applyFill="1" applyBorder="1" applyAlignment="1">
      <alignment horizontal="left" vertical="top" wrapText="1" readingOrder="1"/>
    </xf>
    <xf numFmtId="0" fontId="7" fillId="0" borderId="38" xfId="0" applyFont="1" applyFill="1" applyBorder="1" applyAlignment="1">
      <alignment horizontal="left" vertical="top" wrapText="1" readingOrder="1"/>
    </xf>
    <xf numFmtId="0" fontId="7" fillId="0" borderId="23" xfId="0" applyFont="1" applyFill="1" applyBorder="1" applyAlignment="1">
      <alignment horizontal="left" vertical="top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0" fillId="0" borderId="1" xfId="0" applyFill="1" applyBorder="1" applyAlignment="1">
      <alignment vertical="top" wrapText="1" readingOrder="1"/>
    </xf>
    <xf numFmtId="164" fontId="7" fillId="0" borderId="32" xfId="0" applyNumberFormat="1" applyFont="1" applyFill="1" applyBorder="1" applyAlignment="1">
      <alignment horizontal="center" vertical="top" wrapText="1"/>
    </xf>
    <xf numFmtId="164" fontId="7" fillId="0" borderId="42" xfId="0" applyNumberFormat="1" applyFont="1" applyFill="1" applyBorder="1" applyAlignment="1">
      <alignment horizontal="center" vertical="top" wrapText="1"/>
    </xf>
    <xf numFmtId="164" fontId="7" fillId="0" borderId="30" xfId="0" applyNumberFormat="1" applyFont="1" applyFill="1" applyBorder="1" applyAlignment="1">
      <alignment horizontal="center" vertical="top" wrapText="1"/>
    </xf>
    <xf numFmtId="164" fontId="7" fillId="0" borderId="6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 readingOrder="1"/>
    </xf>
    <xf numFmtId="0" fontId="10" fillId="0" borderId="22" xfId="0" applyFont="1" applyFill="1" applyBorder="1" applyAlignment="1">
      <alignment horizontal="center" vertical="top" wrapText="1" readingOrder="1"/>
    </xf>
    <xf numFmtId="0" fontId="0" fillId="0" borderId="29" xfId="0" applyFill="1" applyBorder="1" applyAlignment="1">
      <alignment horizontal="center" vertical="top" wrapText="1" readingOrder="1"/>
    </xf>
    <xf numFmtId="0" fontId="0" fillId="0" borderId="20" xfId="0" applyFill="1" applyBorder="1" applyAlignment="1">
      <alignment horizontal="center" vertical="top" wrapText="1" readingOrder="1"/>
    </xf>
    <xf numFmtId="0" fontId="7" fillId="0" borderId="21" xfId="0" applyFont="1" applyFill="1" applyBorder="1" applyAlignment="1">
      <alignment horizontal="left" vertical="top" wrapText="1" readingOrder="1"/>
    </xf>
    <xf numFmtId="0" fontId="7" fillId="0" borderId="20" xfId="0" applyFont="1" applyFill="1" applyBorder="1" applyAlignment="1">
      <alignment horizontal="left" vertical="top" wrapText="1" readingOrder="1"/>
    </xf>
    <xf numFmtId="0" fontId="0" fillId="0" borderId="19" xfId="0" applyFill="1" applyBorder="1" applyAlignment="1">
      <alignment horizontal="center" wrapText="1" readingOrder="1"/>
    </xf>
    <xf numFmtId="0" fontId="0" fillId="0" borderId="6" xfId="0" applyFill="1" applyBorder="1" applyAlignment="1">
      <alignment horizontal="center" wrapText="1" readingOrder="1"/>
    </xf>
    <xf numFmtId="0" fontId="10" fillId="0" borderId="5" xfId="0" applyFont="1" applyFill="1" applyBorder="1" applyAlignment="1">
      <alignment horizontal="left" vertical="top" wrapText="1" readingOrder="1"/>
    </xf>
    <xf numFmtId="0" fontId="0" fillId="0" borderId="37" xfId="0" applyFill="1" applyBorder="1" applyAlignment="1">
      <alignment horizontal="left" vertical="top" wrapText="1" readingOrder="1"/>
    </xf>
    <xf numFmtId="0" fontId="0" fillId="0" borderId="21" xfId="0" applyFill="1" applyBorder="1" applyAlignment="1">
      <alignment horizontal="left" vertical="top" wrapText="1" readingOrder="1"/>
    </xf>
    <xf numFmtId="49" fontId="0" fillId="0" borderId="19" xfId="0" applyNumberForma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 readingOrder="1"/>
    </xf>
    <xf numFmtId="0" fontId="7" fillId="0" borderId="3" xfId="0" applyFont="1" applyBorder="1" applyAlignment="1">
      <alignment vertical="top" wrapText="1"/>
    </xf>
    <xf numFmtId="0" fontId="7" fillId="0" borderId="52" xfId="0" applyFont="1" applyBorder="1" applyAlignment="1">
      <alignment vertical="top" wrapText="1"/>
    </xf>
    <xf numFmtId="0" fontId="10" fillId="0" borderId="53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164" fontId="7" fillId="0" borderId="55" xfId="0" applyNumberFormat="1" applyFont="1" applyBorder="1" applyAlignment="1">
      <alignment horizontal="center" vertical="top" wrapText="1"/>
    </xf>
    <xf numFmtId="164" fontId="7" fillId="0" borderId="17" xfId="0" applyNumberFormat="1" applyFont="1" applyBorder="1" applyAlignment="1">
      <alignment horizontal="center" vertical="top" wrapText="1"/>
    </xf>
    <xf numFmtId="164" fontId="7" fillId="0" borderId="51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2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164" fontId="7" fillId="0" borderId="32" xfId="0" applyNumberFormat="1" applyFont="1" applyBorder="1" applyAlignment="1">
      <alignment horizontal="center" vertical="top" wrapText="1"/>
    </xf>
    <xf numFmtId="164" fontId="7" fillId="0" borderId="42" xfId="0" applyNumberFormat="1" applyFont="1" applyBorder="1" applyAlignment="1">
      <alignment horizontal="center" vertical="top" wrapText="1"/>
    </xf>
    <xf numFmtId="164" fontId="7" fillId="0" borderId="30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left" vertical="top" wrapText="1" readingOrder="1"/>
    </xf>
    <xf numFmtId="0" fontId="10" fillId="0" borderId="2" xfId="0" applyNumberFormat="1" applyFont="1" applyBorder="1" applyAlignment="1">
      <alignment horizontal="center" vertical="center" wrapText="1" readingOrder="1"/>
    </xf>
    <xf numFmtId="0" fontId="10" fillId="0" borderId="19" xfId="0" applyNumberFormat="1" applyFont="1" applyBorder="1" applyAlignment="1">
      <alignment horizontal="center" vertical="center" wrapText="1" readingOrder="1"/>
    </xf>
    <xf numFmtId="0" fontId="10" fillId="0" borderId="6" xfId="0" applyNumberFormat="1" applyFont="1" applyBorder="1" applyAlignment="1">
      <alignment horizontal="center" vertical="center" wrapText="1" readingOrder="1"/>
    </xf>
    <xf numFmtId="49" fontId="10" fillId="0" borderId="2" xfId="0" applyNumberFormat="1" applyFont="1" applyBorder="1" applyAlignment="1">
      <alignment horizontal="center" vertical="top" readingOrder="1"/>
    </xf>
    <xf numFmtId="49" fontId="10" fillId="0" borderId="6" xfId="0" applyNumberFormat="1" applyFont="1" applyBorder="1" applyAlignment="1">
      <alignment horizontal="center" vertical="top" readingOrder="1"/>
    </xf>
    <xf numFmtId="0" fontId="10" fillId="0" borderId="19" xfId="0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center" vertical="top" readingOrder="1"/>
    </xf>
    <xf numFmtId="0" fontId="10" fillId="0" borderId="19" xfId="0" applyFont="1" applyBorder="1" applyAlignment="1">
      <alignment horizontal="center" vertical="top" wrapText="1" readingOrder="1"/>
    </xf>
    <xf numFmtId="0" fontId="10" fillId="0" borderId="6" xfId="0" applyFont="1" applyBorder="1" applyAlignment="1">
      <alignment horizontal="center" vertical="top" wrapText="1" readingOrder="1"/>
    </xf>
    <xf numFmtId="49" fontId="10" fillId="0" borderId="5" xfId="0" applyNumberFormat="1" applyFont="1" applyBorder="1" applyAlignment="1">
      <alignment horizontal="center" vertical="top" wrapText="1" readingOrder="1"/>
    </xf>
    <xf numFmtId="49" fontId="10" fillId="0" borderId="21" xfId="0" applyNumberFormat="1" applyFont="1" applyBorder="1" applyAlignment="1">
      <alignment horizontal="center" vertical="top" wrapText="1" readingOrder="1"/>
    </xf>
    <xf numFmtId="0" fontId="10" fillId="0" borderId="23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29" xfId="0" applyFont="1" applyBorder="1" applyAlignment="1">
      <alignment horizontal="left" vertical="center" wrapText="1" readingOrder="1"/>
    </xf>
    <xf numFmtId="0" fontId="0" fillId="0" borderId="20" xfId="0" applyBorder="1" applyAlignment="1">
      <alignment horizontal="left" vertical="center" wrapText="1" readingOrder="1"/>
    </xf>
    <xf numFmtId="0" fontId="7" fillId="0" borderId="4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164" fontId="7" fillId="0" borderId="30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 readingOrder="1"/>
    </xf>
    <xf numFmtId="0" fontId="10" fillId="0" borderId="4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7" fillId="0" borderId="46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center" vertical="center" wrapText="1" readingOrder="1"/>
    </xf>
    <xf numFmtId="0" fontId="10" fillId="0" borderId="19" xfId="0" applyFont="1" applyBorder="1" applyAlignment="1">
      <alignment horizontal="center" vertical="center" wrapText="1" readingOrder="1"/>
    </xf>
    <xf numFmtId="0" fontId="0" fillId="0" borderId="19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0" fillId="0" borderId="19" xfId="0" applyNumberFormat="1" applyBorder="1" applyAlignment="1">
      <alignment horizontal="center" vertical="center" wrapText="1" readingOrder="1"/>
    </xf>
    <xf numFmtId="49" fontId="0" fillId="0" borderId="6" xfId="0" applyNumberForma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vertical="center" wrapText="1" readingOrder="1"/>
    </xf>
    <xf numFmtId="49" fontId="16" fillId="0" borderId="1" xfId="0" applyNumberFormat="1" applyFont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 readingOrder="1"/>
    </xf>
    <xf numFmtId="0" fontId="0" fillId="0" borderId="1" xfId="0" applyBorder="1" applyAlignment="1">
      <alignment horizontal="left" vertical="top" wrapText="1" readingOrder="1"/>
    </xf>
    <xf numFmtId="9" fontId="10" fillId="0" borderId="1" xfId="0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4" fontId="7" fillId="0" borderId="5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10" fillId="0" borderId="56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49" fontId="7" fillId="0" borderId="37" xfId="0" applyNumberFormat="1" applyFont="1" applyBorder="1" applyAlignment="1">
      <alignment horizontal="left" vertical="center" wrapText="1" readingOrder="1"/>
    </xf>
    <xf numFmtId="49" fontId="7" fillId="0" borderId="0" xfId="0" applyNumberFormat="1" applyFont="1" applyBorder="1" applyAlignment="1">
      <alignment horizontal="left" vertical="center" wrapText="1" readingOrder="1"/>
    </xf>
    <xf numFmtId="49" fontId="7" fillId="0" borderId="29" xfId="0" applyNumberFormat="1" applyFont="1" applyBorder="1" applyAlignment="1">
      <alignment horizontal="left" vertical="center" wrapText="1" readingOrder="1"/>
    </xf>
    <xf numFmtId="0" fontId="24" fillId="0" borderId="0" xfId="0" applyFont="1" applyFill="1" applyAlignment="1">
      <alignment horizontal="center" vertical="top" readingOrder="1"/>
    </xf>
    <xf numFmtId="0" fontId="24" fillId="0" borderId="0" xfId="0" applyFont="1" applyFill="1" applyAlignment="1">
      <alignment horizontal="center" vertical="top" wrapText="1" readingOrder="1"/>
    </xf>
    <xf numFmtId="0" fontId="25" fillId="0" borderId="0" xfId="0" applyFont="1" applyFill="1" applyAlignment="1">
      <alignment horizontal="center" wrapText="1" readingOrder="1"/>
    </xf>
    <xf numFmtId="0" fontId="25" fillId="0" borderId="0" xfId="0" applyFont="1" applyFill="1" applyAlignment="1">
      <alignment horizontal="center" readingOrder="1"/>
    </xf>
    <xf numFmtId="0" fontId="20" fillId="0" borderId="0" xfId="0" applyFont="1" applyFill="1" applyBorder="1" applyAlignment="1">
      <alignment vertical="top" wrapText="1" readingOrder="1"/>
    </xf>
    <xf numFmtId="0" fontId="20" fillId="0" borderId="0" xfId="0" applyFont="1" applyFill="1" applyBorder="1" applyAlignment="1">
      <alignment horizontal="center" wrapText="1" readingOrder="1"/>
    </xf>
    <xf numFmtId="0" fontId="25" fillId="0" borderId="0" xfId="0" applyFont="1" applyFill="1" applyAlignment="1">
      <alignment readingOrder="1"/>
    </xf>
    <xf numFmtId="0" fontId="20" fillId="0" borderId="0" xfId="0" applyFont="1" applyFill="1" applyBorder="1" applyAlignment="1">
      <alignment vertical="center" wrapText="1" readingOrder="1"/>
    </xf>
    <xf numFmtId="0" fontId="20" fillId="0" borderId="0" xfId="0" applyFont="1" applyFill="1" applyBorder="1" applyAlignment="1">
      <alignment wrapText="1" readingOrder="1"/>
    </xf>
    <xf numFmtId="0" fontId="20" fillId="0" borderId="0" xfId="0" applyFont="1" applyFill="1" applyBorder="1" applyAlignment="1">
      <alignment horizontal="right" vertical="center" wrapText="1" readingOrder="1"/>
    </xf>
    <xf numFmtId="0" fontId="20" fillId="0" borderId="0" xfId="0" applyFont="1" applyFill="1" applyBorder="1" applyAlignment="1">
      <alignment horizontal="right" vertical="center" wrapText="1" readingOrder="1"/>
    </xf>
    <xf numFmtId="0" fontId="2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50" xfId="0" applyFont="1" applyFill="1" applyBorder="1" applyAlignment="1">
      <alignment horizontal="center" vertical="top" wrapText="1"/>
    </xf>
    <xf numFmtId="0" fontId="21" fillId="0" borderId="39" xfId="0" applyFont="1" applyFill="1" applyBorder="1" applyAlignment="1">
      <alignment horizontal="center" vertical="top" wrapText="1"/>
    </xf>
    <xf numFmtId="0" fontId="21" fillId="0" borderId="23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center" readingOrder="1"/>
    </xf>
    <xf numFmtId="0" fontId="21" fillId="0" borderId="6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top" readingOrder="1"/>
    </xf>
    <xf numFmtId="0" fontId="20" fillId="0" borderId="2" xfId="0" applyFont="1" applyFill="1" applyBorder="1" applyAlignment="1">
      <alignment horizontal="center" vertical="top" wrapText="1" readingOrder="1"/>
    </xf>
    <xf numFmtId="0" fontId="21" fillId="0" borderId="5" xfId="0" applyFont="1" applyFill="1" applyBorder="1" applyAlignment="1">
      <alignment horizontal="center" vertical="top" wrapText="1" readingOrder="1"/>
    </xf>
    <xf numFmtId="4" fontId="21" fillId="0" borderId="2" xfId="0" applyNumberFormat="1" applyFont="1" applyFill="1" applyBorder="1" applyAlignment="1">
      <alignment horizontal="center" vertical="top" readingOrder="1"/>
    </xf>
    <xf numFmtId="0" fontId="20" fillId="0" borderId="23" xfId="0" applyFont="1" applyFill="1" applyBorder="1" applyAlignment="1">
      <alignment vertical="center" wrapText="1" readingOrder="1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9" xfId="0" applyFont="1" applyFill="1" applyBorder="1" applyAlignment="1">
      <alignment horizontal="center" vertical="top" readingOrder="1"/>
    </xf>
    <xf numFmtId="0" fontId="20" fillId="0" borderId="19" xfId="0" applyFont="1" applyFill="1" applyBorder="1" applyAlignment="1">
      <alignment horizontal="center" vertical="top" wrapText="1" readingOrder="1"/>
    </xf>
    <xf numFmtId="0" fontId="20" fillId="0" borderId="37" xfId="0" applyFont="1" applyFill="1" applyBorder="1" applyAlignment="1">
      <alignment horizontal="center" vertical="top" wrapText="1" readingOrder="1"/>
    </xf>
    <xf numFmtId="4" fontId="21" fillId="0" borderId="19" xfId="0" applyNumberFormat="1" applyFont="1" applyFill="1" applyBorder="1" applyAlignment="1">
      <alignment horizontal="center" vertical="top" readingOrder="1"/>
    </xf>
    <xf numFmtId="4" fontId="20" fillId="0" borderId="29" xfId="0" applyNumberFormat="1" applyFont="1" applyFill="1" applyBorder="1" applyAlignment="1">
      <alignment horizontal="center" vertical="top" readingOrder="1"/>
    </xf>
    <xf numFmtId="4" fontId="20" fillId="0" borderId="19" xfId="0" applyNumberFormat="1" applyFont="1" applyFill="1" applyBorder="1" applyAlignment="1">
      <alignment horizontal="center" vertical="top" readingOrder="1"/>
    </xf>
    <xf numFmtId="0" fontId="20" fillId="0" borderId="19" xfId="0" applyFont="1" applyFill="1" applyBorder="1" applyAlignment="1">
      <alignment horizontal="center" vertical="center" wrapText="1" readingOrder="1"/>
    </xf>
    <xf numFmtId="0" fontId="20" fillId="0" borderId="37" xfId="0" applyFont="1" applyFill="1" applyBorder="1" applyAlignment="1">
      <alignment horizontal="center" vertical="top" readingOrder="1"/>
    </xf>
    <xf numFmtId="0" fontId="20" fillId="0" borderId="23" xfId="0" applyFont="1" applyFill="1" applyBorder="1" applyAlignment="1">
      <alignment horizontal="left" vertical="top" wrapText="1" readingOrder="1"/>
    </xf>
    <xf numFmtId="164" fontId="20" fillId="0" borderId="1" xfId="0" applyNumberFormat="1" applyFont="1" applyFill="1" applyBorder="1" applyAlignment="1">
      <alignment horizontal="center" vertical="center" readingOrder="1"/>
    </xf>
    <xf numFmtId="0" fontId="20" fillId="0" borderId="37" xfId="0" applyFont="1" applyFill="1" applyBorder="1" applyAlignment="1">
      <alignment vertical="top" readingOrder="1"/>
    </xf>
    <xf numFmtId="2" fontId="21" fillId="0" borderId="19" xfId="0" applyNumberFormat="1" applyFont="1" applyFill="1" applyBorder="1" applyAlignment="1">
      <alignment horizontal="center" vertical="center" readingOrder="1"/>
    </xf>
    <xf numFmtId="164" fontId="20" fillId="0" borderId="29" xfId="0" applyNumberFormat="1" applyFont="1" applyFill="1" applyBorder="1" applyAlignment="1">
      <alignment vertical="top" readingOrder="1"/>
    </xf>
    <xf numFmtId="164" fontId="20" fillId="0" borderId="19" xfId="0" applyNumberFormat="1" applyFont="1" applyFill="1" applyBorder="1" applyAlignment="1">
      <alignment vertical="top" readingOrder="1"/>
    </xf>
    <xf numFmtId="164" fontId="20" fillId="0" borderId="0" xfId="0" applyNumberFormat="1" applyFont="1" applyFill="1" applyBorder="1" applyAlignment="1">
      <alignment vertical="top" readingOrder="1"/>
    </xf>
    <xf numFmtId="0" fontId="20" fillId="0" borderId="2" xfId="0" applyFont="1" applyFill="1" applyBorder="1" applyAlignment="1">
      <alignment vertical="top" wrapText="1" readingOrder="1"/>
    </xf>
    <xf numFmtId="164" fontId="20" fillId="0" borderId="1" xfId="0" applyNumberFormat="1" applyFont="1" applyFill="1" applyBorder="1" applyAlignment="1">
      <alignment horizontal="center" vertical="center" wrapText="1" readingOrder="1"/>
    </xf>
    <xf numFmtId="164" fontId="20" fillId="0" borderId="19" xfId="0" applyNumberFormat="1" applyFont="1" applyFill="1" applyBorder="1" applyAlignment="1">
      <alignment horizontal="center" vertical="top" readingOrder="1"/>
    </xf>
    <xf numFmtId="164" fontId="20" fillId="0" borderId="29" xfId="0" applyNumberFormat="1" applyFont="1" applyFill="1" applyBorder="1" applyAlignment="1">
      <alignment horizontal="center" vertical="top" readingOrder="1"/>
    </xf>
    <xf numFmtId="164" fontId="20" fillId="0" borderId="0" xfId="0" applyNumberFormat="1" applyFont="1" applyFill="1" applyBorder="1" applyAlignment="1">
      <alignment horizontal="center" vertical="top" readingOrder="1"/>
    </xf>
    <xf numFmtId="0" fontId="27" fillId="0" borderId="6" xfId="0" applyFont="1" applyFill="1" applyBorder="1" applyAlignment="1">
      <alignment vertical="top" readingOrder="1"/>
    </xf>
    <xf numFmtId="164" fontId="27" fillId="0" borderId="1" xfId="0" applyNumberFormat="1" applyFont="1" applyFill="1" applyBorder="1" applyAlignment="1">
      <alignment readingOrder="1"/>
    </xf>
    <xf numFmtId="0" fontId="25" fillId="0" borderId="0" xfId="0" applyNumberFormat="1" applyFont="1" applyFill="1" applyAlignment="1">
      <alignment horizontal="center" vertical="center" readingOrder="1"/>
    </xf>
    <xf numFmtId="0" fontId="20" fillId="0" borderId="1" xfId="0" applyNumberFormat="1" applyFont="1" applyFill="1" applyBorder="1" applyAlignment="1">
      <alignment horizontal="center" vertical="center" readingOrder="1"/>
    </xf>
    <xf numFmtId="0" fontId="20" fillId="0" borderId="19" xfId="0" applyFont="1" applyFill="1" applyBorder="1" applyAlignment="1">
      <alignment horizontal="center" vertical="top" readingOrder="1"/>
    </xf>
    <xf numFmtId="0" fontId="20" fillId="0" borderId="19" xfId="0" applyFont="1" applyFill="1" applyBorder="1" applyAlignment="1">
      <alignment vertical="top" readingOrder="1"/>
    </xf>
    <xf numFmtId="0" fontId="21" fillId="0" borderId="5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top" readingOrder="1"/>
    </xf>
    <xf numFmtId="0" fontId="20" fillId="0" borderId="6" xfId="0" applyFont="1" applyFill="1" applyBorder="1" applyAlignment="1">
      <alignment horizontal="center" vertical="top" wrapText="1" readingOrder="1"/>
    </xf>
    <xf numFmtId="0" fontId="20" fillId="0" borderId="6" xfId="0" applyFont="1" applyFill="1" applyBorder="1" applyAlignment="1">
      <alignment horizontal="center" vertical="center" wrapText="1" readingOrder="1"/>
    </xf>
    <xf numFmtId="0" fontId="20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 readingOrder="1"/>
    </xf>
    <xf numFmtId="0" fontId="20" fillId="0" borderId="5" xfId="0" applyFont="1" applyFill="1" applyBorder="1" applyAlignment="1">
      <alignment horizontal="center" vertical="top" wrapText="1" readingOrder="1"/>
    </xf>
    <xf numFmtId="0" fontId="21" fillId="0" borderId="7" xfId="0" applyFont="1" applyFill="1" applyBorder="1" applyAlignment="1">
      <alignment horizontal="center" vertical="top" wrapText="1"/>
    </xf>
    <xf numFmtId="4" fontId="21" fillId="0" borderId="33" xfId="0" applyNumberFormat="1" applyFont="1" applyFill="1" applyBorder="1" applyAlignment="1">
      <alignment horizontal="center" vertical="top" wrapText="1"/>
    </xf>
    <xf numFmtId="4" fontId="21" fillId="0" borderId="34" xfId="0" applyNumberFormat="1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left" wrapText="1" readingOrder="1"/>
    </xf>
    <xf numFmtId="0" fontId="20" fillId="0" borderId="19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 readingOrder="1"/>
    </xf>
    <xf numFmtId="0" fontId="20" fillId="0" borderId="37" xfId="0" applyFont="1" applyFill="1" applyBorder="1" applyAlignment="1">
      <alignment horizontal="center" vertical="top" wrapText="1" readingOrder="1"/>
    </xf>
    <xf numFmtId="0" fontId="21" fillId="0" borderId="8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4" fontId="21" fillId="0" borderId="12" xfId="0" applyNumberFormat="1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top" wrapText="1"/>
    </xf>
    <xf numFmtId="0" fontId="20" fillId="0" borderId="29" xfId="0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vertical="top"/>
    </xf>
    <xf numFmtId="0" fontId="27" fillId="0" borderId="19" xfId="0" applyFont="1" applyFill="1" applyBorder="1" applyAlignment="1">
      <alignment horizontal="left" vertical="top" wrapText="1" readingOrder="1"/>
    </xf>
    <xf numFmtId="0" fontId="27" fillId="0" borderId="37" xfId="0" applyFont="1" applyFill="1" applyBorder="1" applyAlignment="1">
      <alignment horizontal="center" wrapText="1" readingOrder="1"/>
    </xf>
    <xf numFmtId="164" fontId="21" fillId="0" borderId="8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readingOrder="1"/>
    </xf>
    <xf numFmtId="4" fontId="28" fillId="0" borderId="12" xfId="0" applyNumberFormat="1" applyFont="1" applyFill="1" applyBorder="1" applyAlignment="1">
      <alignment horizontal="center" vertical="top" readingOrder="1"/>
    </xf>
    <xf numFmtId="0" fontId="27" fillId="0" borderId="29" xfId="0" applyFont="1" applyFill="1" applyBorder="1" applyAlignment="1"/>
    <xf numFmtId="0" fontId="27" fillId="0" borderId="29" xfId="0" applyFont="1" applyFill="1" applyBorder="1" applyAlignment="1"/>
    <xf numFmtId="0" fontId="21" fillId="0" borderId="8" xfId="0" applyFont="1" applyFill="1" applyBorder="1" applyAlignment="1">
      <alignment horizontal="center" vertical="top" wrapText="1" readingOrder="1"/>
    </xf>
    <xf numFmtId="4" fontId="21" fillId="0" borderId="1" xfId="0" applyNumberFormat="1" applyFont="1" applyFill="1" applyBorder="1" applyAlignment="1">
      <alignment horizontal="center" vertical="top" readingOrder="1"/>
    </xf>
    <xf numFmtId="4" fontId="21" fillId="0" borderId="12" xfId="0" applyNumberFormat="1" applyFont="1" applyFill="1" applyBorder="1" applyAlignment="1">
      <alignment horizontal="center" vertical="top" readingOrder="1"/>
    </xf>
    <xf numFmtId="0" fontId="27" fillId="0" borderId="6" xfId="0" applyFont="1" applyFill="1" applyBorder="1" applyAlignment="1">
      <alignment vertical="top"/>
    </xf>
    <xf numFmtId="0" fontId="27" fillId="0" borderId="6" xfId="0" applyFont="1" applyFill="1" applyBorder="1" applyAlignment="1">
      <alignment horizontal="left" vertical="top" wrapText="1" readingOrder="1"/>
    </xf>
    <xf numFmtId="0" fontId="27" fillId="0" borderId="21" xfId="0" applyFont="1" applyFill="1" applyBorder="1" applyAlignment="1">
      <alignment horizontal="center" wrapText="1" readingOrder="1"/>
    </xf>
    <xf numFmtId="0" fontId="21" fillId="0" borderId="9" xfId="0" applyFont="1" applyFill="1" applyBorder="1" applyAlignment="1">
      <alignment horizontal="center" vertical="top" readingOrder="1"/>
    </xf>
    <xf numFmtId="4" fontId="21" fillId="0" borderId="13" xfId="0" applyNumberFormat="1" applyFont="1" applyFill="1" applyBorder="1" applyAlignment="1">
      <alignment horizontal="center" vertical="top" readingOrder="1"/>
    </xf>
    <xf numFmtId="4" fontId="21" fillId="0" borderId="14" xfId="0" applyNumberFormat="1" applyFont="1" applyFill="1" applyBorder="1" applyAlignment="1">
      <alignment horizontal="center" vertical="top" readingOrder="1"/>
    </xf>
    <xf numFmtId="0" fontId="27" fillId="0" borderId="20" xfId="0" applyFont="1" applyFill="1" applyBorder="1" applyAlignment="1"/>
    <xf numFmtId="0" fontId="27" fillId="0" borderId="20" xfId="0" applyFont="1" applyFill="1" applyBorder="1" applyAlignment="1"/>
    <xf numFmtId="49" fontId="20" fillId="0" borderId="0" xfId="0" applyNumberFormat="1" applyFont="1" applyFill="1" applyAlignment="1">
      <alignment readingOrder="1"/>
    </xf>
    <xf numFmtId="0" fontId="20" fillId="0" borderId="0" xfId="0" applyFont="1" applyFill="1" applyAlignment="1">
      <alignment readingOrder="1"/>
    </xf>
    <xf numFmtId="0" fontId="20" fillId="0" borderId="0" xfId="0" applyFont="1" applyFill="1" applyAlignment="1">
      <alignment horizontal="center" readingOrder="1"/>
    </xf>
    <xf numFmtId="0" fontId="20" fillId="0" borderId="0" xfId="0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right" vertical="top" wrapText="1" readingOrder="1"/>
    </xf>
    <xf numFmtId="0" fontId="20" fillId="0" borderId="0" xfId="0" applyFont="1" applyFill="1" applyBorder="1" applyAlignment="1">
      <alignment horizontal="right" vertical="top" wrapText="1" readingOrder="1"/>
    </xf>
    <xf numFmtId="0" fontId="26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left" readingOrder="1"/>
    </xf>
    <xf numFmtId="0" fontId="20" fillId="0" borderId="0" xfId="0" applyFont="1" applyFill="1" applyAlignment="1">
      <alignment horizontal="right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>
      <alignment horizontal="center" vertical="top" wrapText="1"/>
    </xf>
    <xf numFmtId="0" fontId="21" fillId="0" borderId="37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50" xfId="0" applyNumberFormat="1" applyFont="1" applyFill="1" applyBorder="1" applyAlignment="1">
      <alignment vertical="top" wrapText="1"/>
    </xf>
    <xf numFmtId="49" fontId="21" fillId="0" borderId="39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21" fillId="0" borderId="23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3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49" fontId="21" fillId="0" borderId="0" xfId="2" applyNumberFormat="1" applyFont="1" applyFill="1" applyBorder="1" applyProtection="1">
      <alignment horizontal="left" vertical="top" wrapText="1"/>
    </xf>
    <xf numFmtId="0" fontId="20" fillId="0" borderId="19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vertical="top" wrapText="1"/>
    </xf>
    <xf numFmtId="2" fontId="20" fillId="0" borderId="19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 readingOrder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19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4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top" wrapText="1"/>
    </xf>
    <xf numFmtId="4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164" fontId="27" fillId="0" borderId="19" xfId="0" applyNumberFormat="1" applyFont="1" applyFill="1" applyBorder="1" applyAlignment="1">
      <alignment horizontal="center" vertical="center" wrapText="1"/>
    </xf>
    <xf numFmtId="4" fontId="20" fillId="0" borderId="19" xfId="0" applyNumberFormat="1" applyFont="1" applyFill="1" applyBorder="1" applyAlignment="1">
      <alignment horizontal="center" vertical="center" wrapText="1"/>
    </xf>
    <xf numFmtId="164" fontId="20" fillId="0" borderId="29" xfId="0" applyNumberFormat="1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Protection="1">
      <alignment horizontal="left" vertical="top" wrapText="1"/>
    </xf>
    <xf numFmtId="0" fontId="20" fillId="0" borderId="6" xfId="0" applyFont="1" applyFill="1" applyBorder="1" applyAlignment="1">
      <alignment horizontal="center" wrapText="1"/>
    </xf>
    <xf numFmtId="0" fontId="20" fillId="0" borderId="21" xfId="0" applyFont="1" applyFill="1" applyBorder="1" applyAlignment="1">
      <alignment vertical="top" wrapText="1"/>
    </xf>
    <xf numFmtId="4" fontId="20" fillId="0" borderId="6" xfId="0" applyNumberFormat="1" applyFont="1" applyFill="1" applyBorder="1" applyAlignment="1">
      <alignment horizontal="center" vertical="center" wrapText="1"/>
    </xf>
    <xf numFmtId="2" fontId="20" fillId="0" borderId="20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164" fontId="27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49" fontId="20" fillId="0" borderId="19" xfId="0" applyNumberFormat="1" applyFont="1" applyFill="1" applyBorder="1" applyAlignment="1">
      <alignment horizontal="center" vertical="top" wrapText="1"/>
    </xf>
    <xf numFmtId="49" fontId="20" fillId="0" borderId="19" xfId="0" applyNumberFormat="1" applyFont="1" applyFill="1" applyBorder="1" applyAlignment="1">
      <alignment horizontal="left" vertical="top" wrapText="1"/>
    </xf>
    <xf numFmtId="49" fontId="20" fillId="0" borderId="37" xfId="0" applyNumberFormat="1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164" fontId="27" fillId="0" borderId="6" xfId="0" applyNumberFormat="1" applyFont="1" applyFill="1" applyBorder="1" applyAlignment="1">
      <alignment horizontal="center" vertical="center" wrapText="1" readingOrder="1"/>
    </xf>
    <xf numFmtId="49" fontId="20" fillId="0" borderId="2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49" fontId="20" fillId="0" borderId="37" xfId="0" applyNumberFormat="1" applyFont="1" applyFill="1" applyBorder="1" applyAlignment="1">
      <alignment readingOrder="1"/>
    </xf>
    <xf numFmtId="0" fontId="20" fillId="0" borderId="19" xfId="0" applyFont="1" applyFill="1" applyBorder="1" applyAlignment="1">
      <alignment horizontal="center" vertical="top" wrapText="1"/>
    </xf>
    <xf numFmtId="4" fontId="20" fillId="0" borderId="29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readingOrder="1"/>
    </xf>
    <xf numFmtId="49" fontId="20" fillId="0" borderId="6" xfId="0" applyNumberFormat="1" applyFont="1" applyFill="1" applyBorder="1" applyAlignment="1">
      <alignment vertical="top" wrapText="1"/>
    </xf>
    <xf numFmtId="49" fontId="20" fillId="0" borderId="6" xfId="0" applyNumberFormat="1" applyFont="1" applyFill="1" applyBorder="1" applyAlignment="1">
      <alignment horizontal="left" vertical="top" wrapText="1"/>
    </xf>
    <xf numFmtId="0" fontId="20" fillId="0" borderId="6" xfId="0" applyNumberFormat="1" applyFont="1" applyFill="1" applyBorder="1" applyAlignment="1">
      <alignment horizontal="center" vertical="center" wrapText="1" readingOrder="1"/>
    </xf>
    <xf numFmtId="49" fontId="20" fillId="0" borderId="6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22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top" wrapText="1"/>
    </xf>
    <xf numFmtId="0" fontId="27" fillId="0" borderId="19" xfId="0" applyFont="1" applyFill="1" applyBorder="1" applyAlignment="1">
      <alignment horizontal="center" vertical="top" wrapText="1"/>
    </xf>
    <xf numFmtId="2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vertical="top" wrapText="1"/>
    </xf>
    <xf numFmtId="164" fontId="20" fillId="0" borderId="2" xfId="0" applyNumberFormat="1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readingOrder="1"/>
    </xf>
    <xf numFmtId="2" fontId="20" fillId="0" borderId="37" xfId="0" applyNumberFormat="1" applyFont="1" applyFill="1" applyBorder="1" applyAlignment="1">
      <alignment horizontal="center" vertical="center" wrapText="1"/>
    </xf>
    <xf numFmtId="164" fontId="20" fillId="0" borderId="37" xfId="0" applyNumberFormat="1" applyFont="1" applyFill="1" applyBorder="1" applyAlignment="1">
      <alignment vertical="top" wrapText="1"/>
    </xf>
    <xf numFmtId="164" fontId="20" fillId="0" borderId="19" xfId="0" applyNumberFormat="1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center" readingOrder="1"/>
    </xf>
    <xf numFmtId="2" fontId="20" fillId="0" borderId="2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readingOrder="1"/>
    </xf>
    <xf numFmtId="0" fontId="20" fillId="0" borderId="50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22" xfId="0" applyNumberFormat="1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vertical="top" wrapText="1"/>
    </xf>
    <xf numFmtId="0" fontId="20" fillId="0" borderId="19" xfId="0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vertical="center" wrapText="1"/>
    </xf>
    <xf numFmtId="164" fontId="20" fillId="0" borderId="29" xfId="0" applyNumberFormat="1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left" vertical="center" wrapText="1"/>
    </xf>
    <xf numFmtId="166" fontId="20" fillId="0" borderId="19" xfId="0" applyNumberFormat="1" applyFont="1" applyFill="1" applyBorder="1" applyAlignment="1">
      <alignment horizontal="center" vertical="center" wrapText="1"/>
    </xf>
    <xf numFmtId="165" fontId="20" fillId="0" borderId="19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vertical="top" wrapText="1"/>
    </xf>
    <xf numFmtId="0" fontId="27" fillId="0" borderId="6" xfId="0" applyFont="1" applyFill="1" applyBorder="1" applyAlignment="1">
      <alignment horizontal="left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top" wrapText="1"/>
    </xf>
    <xf numFmtId="0" fontId="20" fillId="0" borderId="36" xfId="0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readingOrder="1"/>
    </xf>
    <xf numFmtId="0" fontId="20" fillId="0" borderId="0" xfId="0" applyFont="1" applyFill="1" applyBorder="1" applyAlignment="1">
      <alignment horizontal="center" vertical="center" wrapText="1"/>
    </xf>
    <xf numFmtId="2" fontId="20" fillId="0" borderId="1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wrapText="1"/>
    </xf>
    <xf numFmtId="2" fontId="21" fillId="0" borderId="5" xfId="0" applyNumberFormat="1" applyFont="1" applyFill="1" applyBorder="1" applyAlignment="1">
      <alignment horizontal="center" vertical="center" wrapText="1"/>
    </xf>
    <xf numFmtId="2" fontId="21" fillId="0" borderId="22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36" xfId="0" applyFont="1" applyFill="1" applyBorder="1" applyAlignment="1">
      <alignment readingOrder="1"/>
    </xf>
    <xf numFmtId="0" fontId="20" fillId="0" borderId="0" xfId="0" applyFont="1" applyFill="1" applyBorder="1" applyAlignment="1">
      <alignment readingOrder="1"/>
    </xf>
    <xf numFmtId="0" fontId="21" fillId="0" borderId="6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4" fontId="21" fillId="0" borderId="33" xfId="0" applyNumberFormat="1" applyFont="1" applyFill="1" applyBorder="1" applyAlignment="1">
      <alignment horizontal="center" vertical="center" readingOrder="1"/>
    </xf>
    <xf numFmtId="4" fontId="21" fillId="0" borderId="33" xfId="0" applyNumberFormat="1" applyFont="1" applyFill="1" applyBorder="1" applyAlignment="1">
      <alignment horizontal="center" vertical="center" wrapText="1"/>
    </xf>
    <xf numFmtId="4" fontId="21" fillId="0" borderId="34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/>
    <xf numFmtId="0" fontId="20" fillId="0" borderId="50" xfId="0" applyFont="1" applyFill="1" applyBorder="1" applyAlignment="1"/>
    <xf numFmtId="0" fontId="20" fillId="0" borderId="8" xfId="0" applyFont="1" applyFill="1" applyBorder="1" applyAlignment="1">
      <alignment horizontal="center" readingOrder="1"/>
    </xf>
    <xf numFmtId="4" fontId="20" fillId="0" borderId="1" xfId="0" applyNumberFormat="1" applyFont="1" applyFill="1" applyBorder="1" applyAlignment="1">
      <alignment horizontal="center" vertical="center" readingOrder="1"/>
    </xf>
    <xf numFmtId="4" fontId="20" fillId="0" borderId="12" xfId="0" applyNumberFormat="1" applyFont="1" applyFill="1" applyBorder="1" applyAlignment="1">
      <alignment horizontal="center" vertical="center" readingOrder="1"/>
    </xf>
    <xf numFmtId="0" fontId="20" fillId="0" borderId="23" xfId="0" applyFont="1" applyFill="1" applyBorder="1" applyAlignment="1"/>
    <xf numFmtId="0" fontId="20" fillId="0" borderId="9" xfId="0" applyFont="1" applyFill="1" applyBorder="1" applyAlignment="1">
      <alignment horizontal="center" readingOrder="1"/>
    </xf>
    <xf numFmtId="4" fontId="20" fillId="0" borderId="13" xfId="0" applyNumberFormat="1" applyFont="1" applyFill="1" applyBorder="1" applyAlignment="1">
      <alignment horizontal="center" vertical="center" readingOrder="1"/>
    </xf>
    <xf numFmtId="4" fontId="20" fillId="0" borderId="14" xfId="0" applyNumberFormat="1" applyFont="1" applyFill="1" applyBorder="1" applyAlignment="1">
      <alignment horizontal="center" vertical="center" readingOrder="1"/>
    </xf>
    <xf numFmtId="0" fontId="20" fillId="0" borderId="0" xfId="0" applyFont="1" applyFill="1" applyAlignment="1">
      <alignment vertical="top" wrapText="1" readingOrder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36" xfId="0" applyFont="1" applyFill="1" applyBorder="1" applyAlignment="1">
      <alignment horizontal="center" vertical="top" wrapText="1"/>
    </xf>
    <xf numFmtId="0" fontId="21" fillId="0" borderId="22" xfId="0" applyFont="1" applyFill="1" applyBorder="1" applyAlignment="1">
      <alignment horizontal="center" vertical="top" wrapText="1"/>
    </xf>
    <xf numFmtId="49" fontId="21" fillId="0" borderId="19" xfId="0" applyNumberFormat="1" applyFont="1" applyFill="1" applyBorder="1" applyAlignment="1">
      <alignment horizontal="center" vertical="top" wrapText="1"/>
    </xf>
    <xf numFmtId="0" fontId="21" fillId="0" borderId="3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29" xfId="0" applyFont="1" applyFill="1" applyBorder="1" applyAlignment="1">
      <alignment horizontal="center" vertical="top" wrapText="1"/>
    </xf>
    <xf numFmtId="49" fontId="21" fillId="0" borderId="6" xfId="0" applyNumberFormat="1" applyFont="1" applyFill="1" applyBorder="1" applyAlignment="1">
      <alignment horizontal="center" vertical="top" wrapText="1"/>
    </xf>
    <xf numFmtId="0" fontId="21" fillId="0" borderId="38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left" vertical="top" wrapText="1" readingOrder="1"/>
    </xf>
    <xf numFmtId="0" fontId="21" fillId="0" borderId="2" xfId="0" applyFont="1" applyFill="1" applyBorder="1" applyAlignment="1">
      <alignment horizontal="center" vertical="top" wrapText="1"/>
    </xf>
    <xf numFmtId="4" fontId="21" fillId="0" borderId="19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top" wrapText="1" readingOrder="1"/>
    </xf>
    <xf numFmtId="49" fontId="20" fillId="0" borderId="36" xfId="0" applyNumberFormat="1" applyFont="1" applyFill="1" applyBorder="1" applyAlignment="1">
      <alignment horizontal="center" vertical="top" wrapText="1" readingOrder="1"/>
    </xf>
    <xf numFmtId="49" fontId="20" fillId="0" borderId="22" xfId="0" applyNumberFormat="1" applyFont="1" applyFill="1" applyBorder="1" applyAlignment="1">
      <alignment horizontal="center" vertical="top" wrapText="1" readingOrder="1"/>
    </xf>
    <xf numFmtId="49" fontId="20" fillId="0" borderId="19" xfId="0" applyNumberFormat="1" applyFont="1" applyFill="1" applyBorder="1" applyAlignment="1">
      <alignment horizontal="left" vertical="top" wrapText="1" readingOrder="1"/>
    </xf>
    <xf numFmtId="49" fontId="20" fillId="0" borderId="37" xfId="0" applyNumberFormat="1" applyFont="1" applyFill="1" applyBorder="1" applyAlignment="1">
      <alignment horizontal="center" vertical="top" wrapText="1" readingOrder="1"/>
    </xf>
    <xf numFmtId="49" fontId="20" fillId="0" borderId="0" xfId="0" applyNumberFormat="1" applyFont="1" applyFill="1" applyBorder="1" applyAlignment="1">
      <alignment horizontal="center" vertical="top" wrapText="1" readingOrder="1"/>
    </xf>
    <xf numFmtId="49" fontId="20" fillId="0" borderId="29" xfId="0" applyNumberFormat="1" applyFont="1" applyFill="1" applyBorder="1" applyAlignment="1">
      <alignment horizontal="center" vertical="top" wrapText="1" readingOrder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top" wrapText="1" readingOrder="1"/>
    </xf>
    <xf numFmtId="4" fontId="20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 readingOrder="1"/>
    </xf>
    <xf numFmtId="164" fontId="20" fillId="0" borderId="0" xfId="0" applyNumberFormat="1" applyFont="1" applyFill="1" applyBorder="1" applyAlignment="1">
      <alignment horizontal="center" vertical="center" wrapText="1" readingOrder="1"/>
    </xf>
    <xf numFmtId="0" fontId="25" fillId="0" borderId="0" xfId="0" applyFont="1" applyFill="1" applyAlignment="1">
      <alignment horizontal="left" vertical="top" readingOrder="1"/>
    </xf>
    <xf numFmtId="0" fontId="25" fillId="0" borderId="0" xfId="0" applyFont="1" applyFill="1" applyAlignment="1">
      <alignment horizontal="center" vertical="top" readingOrder="1"/>
    </xf>
    <xf numFmtId="49" fontId="20" fillId="0" borderId="19" xfId="0" applyNumberFormat="1" applyFont="1" applyFill="1" applyBorder="1" applyAlignment="1">
      <alignment vertical="top" wrapText="1" readingOrder="1"/>
    </xf>
    <xf numFmtId="0" fontId="21" fillId="0" borderId="0" xfId="0" applyFont="1" applyFill="1" applyBorder="1" applyAlignment="1">
      <alignment horizontal="center" vertical="top" wrapText="1"/>
    </xf>
    <xf numFmtId="49" fontId="20" fillId="0" borderId="23" xfId="0" applyNumberFormat="1" applyFont="1" applyFill="1" applyBorder="1" applyAlignment="1">
      <alignment vertical="top" wrapText="1" readingOrder="1"/>
    </xf>
    <xf numFmtId="49" fontId="20" fillId="0" borderId="1" xfId="0" applyNumberFormat="1" applyFont="1" applyFill="1" applyBorder="1" applyAlignment="1">
      <alignment horizontal="center" vertical="top" wrapText="1" readingOrder="1"/>
    </xf>
    <xf numFmtId="164" fontId="20" fillId="0" borderId="38" xfId="0" applyNumberFormat="1" applyFont="1" applyFill="1" applyBorder="1" applyAlignment="1">
      <alignment horizontal="center" vertical="center" wrapText="1" readingOrder="1"/>
    </xf>
    <xf numFmtId="4" fontId="20" fillId="0" borderId="2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readingOrder="1"/>
    </xf>
    <xf numFmtId="49" fontId="20" fillId="0" borderId="6" xfId="0" applyNumberFormat="1" applyFont="1" applyFill="1" applyBorder="1" applyAlignment="1">
      <alignment vertical="top" wrapText="1" readingOrder="1"/>
    </xf>
    <xf numFmtId="49" fontId="20" fillId="0" borderId="2" xfId="0" applyNumberFormat="1" applyFont="1" applyFill="1" applyBorder="1" applyAlignment="1">
      <alignment vertical="center" wrapText="1" readingOrder="1"/>
    </xf>
    <xf numFmtId="49" fontId="20" fillId="0" borderId="2" xfId="0" applyNumberFormat="1" applyFont="1" applyFill="1" applyBorder="1" applyAlignment="1">
      <alignment horizontal="center" wrapText="1" readingOrder="1"/>
    </xf>
    <xf numFmtId="49" fontId="20" fillId="0" borderId="19" xfId="0" applyNumberFormat="1" applyFont="1" applyFill="1" applyBorder="1" applyAlignment="1">
      <alignment vertical="center" wrapText="1" readingOrder="1"/>
    </xf>
    <xf numFmtId="49" fontId="20" fillId="0" borderId="19" xfId="0" applyNumberFormat="1" applyFont="1" applyFill="1" applyBorder="1" applyAlignment="1">
      <alignment horizontal="center" wrapText="1" readingOrder="1"/>
    </xf>
    <xf numFmtId="49" fontId="20" fillId="0" borderId="6" xfId="0" applyNumberFormat="1" applyFont="1" applyFill="1" applyBorder="1" applyAlignment="1">
      <alignment vertical="center" wrapText="1" readingOrder="1"/>
    </xf>
    <xf numFmtId="49" fontId="20" fillId="0" borderId="6" xfId="0" applyNumberFormat="1" applyFont="1" applyFill="1" applyBorder="1" applyAlignment="1">
      <alignment horizontal="center" wrapText="1" readingOrder="1"/>
    </xf>
    <xf numFmtId="49" fontId="20" fillId="0" borderId="29" xfId="0" applyNumberFormat="1" applyFont="1" applyFill="1" applyBorder="1" applyAlignment="1">
      <alignment horizontal="left" vertical="top" wrapText="1" readingOrder="1"/>
    </xf>
    <xf numFmtId="0" fontId="27" fillId="0" borderId="19" xfId="0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left" vertical="top" wrapText="1" readingOrder="1"/>
    </xf>
    <xf numFmtId="49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36" xfId="0" applyFont="1" applyFill="1" applyBorder="1" applyAlignment="1">
      <alignment horizontal="center" vertical="top" wrapText="1"/>
    </xf>
    <xf numFmtId="164" fontId="20" fillId="0" borderId="1" xfId="0" applyNumberFormat="1" applyFont="1" applyFill="1" applyBorder="1" applyAlignment="1">
      <alignment horizontal="center" vertical="top" wrapText="1" readingOrder="1"/>
    </xf>
    <xf numFmtId="49" fontId="20" fillId="0" borderId="1" xfId="0" applyNumberFormat="1" applyFont="1" applyFill="1" applyBorder="1" applyAlignment="1">
      <alignment horizontal="center" vertical="top" wrapText="1" readingOrder="1"/>
    </xf>
    <xf numFmtId="164" fontId="20" fillId="0" borderId="1" xfId="0" applyNumberFormat="1" applyFont="1" applyFill="1" applyBorder="1" applyAlignment="1">
      <alignment horizontal="center" vertical="top" wrapText="1" readingOrder="1"/>
    </xf>
    <xf numFmtId="0" fontId="27" fillId="0" borderId="1" xfId="0" applyFont="1" applyFill="1" applyBorder="1" applyAlignment="1">
      <alignment horizontal="center" vertical="top" wrapText="1" readingOrder="1"/>
    </xf>
    <xf numFmtId="164" fontId="27" fillId="0" borderId="1" xfId="0" applyNumberFormat="1" applyFont="1" applyFill="1" applyBorder="1" applyAlignment="1">
      <alignment horizontal="center" vertical="top" wrapText="1" readingOrder="1"/>
    </xf>
    <xf numFmtId="49" fontId="20" fillId="0" borderId="6" xfId="0" applyNumberFormat="1" applyFont="1" applyFill="1" applyBorder="1" applyAlignment="1">
      <alignment horizontal="left" vertical="top" wrapText="1" readingOrder="1"/>
    </xf>
    <xf numFmtId="164" fontId="20" fillId="0" borderId="5" xfId="0" applyNumberFormat="1" applyFont="1" applyFill="1" applyBorder="1" applyAlignment="1">
      <alignment horizontal="center" vertical="center" wrapText="1" readingOrder="1"/>
    </xf>
    <xf numFmtId="164" fontId="20" fillId="0" borderId="37" xfId="0" applyNumberFormat="1" applyFont="1" applyFill="1" applyBorder="1" applyAlignment="1">
      <alignment horizontal="center" vertical="center" wrapText="1" readingOrder="1"/>
    </xf>
    <xf numFmtId="164" fontId="20" fillId="0" borderId="21" xfId="0" applyNumberFormat="1" applyFont="1" applyFill="1" applyBorder="1" applyAlignment="1">
      <alignment horizontal="center" vertical="center" wrapText="1" readingOrder="1"/>
    </xf>
    <xf numFmtId="49" fontId="21" fillId="0" borderId="1" xfId="0" applyNumberFormat="1" applyFont="1" applyFill="1" applyBorder="1" applyAlignment="1">
      <alignment horizontal="center" wrapText="1" readingOrder="1"/>
    </xf>
    <xf numFmtId="49" fontId="21" fillId="0" borderId="50" xfId="0" applyNumberFormat="1" applyFont="1" applyFill="1" applyBorder="1" applyAlignment="1">
      <alignment horizontal="left" vertical="center" wrapText="1" readingOrder="1"/>
    </xf>
    <xf numFmtId="49" fontId="21" fillId="0" borderId="39" xfId="0" applyNumberFormat="1" applyFont="1" applyFill="1" applyBorder="1" applyAlignment="1">
      <alignment horizontal="left" vertical="center" wrapText="1" readingOrder="1"/>
    </xf>
    <xf numFmtId="49" fontId="21" fillId="0" borderId="23" xfId="0" applyNumberFormat="1" applyFont="1" applyFill="1" applyBorder="1" applyAlignment="1">
      <alignment horizontal="left" vertical="center" wrapText="1" readingOrder="1"/>
    </xf>
    <xf numFmtId="0" fontId="21" fillId="0" borderId="2" xfId="0" applyFont="1" applyFill="1" applyBorder="1" applyAlignment="1">
      <alignment vertical="top" wrapText="1"/>
    </xf>
    <xf numFmtId="2" fontId="21" fillId="0" borderId="2" xfId="0" applyNumberFormat="1" applyFont="1" applyFill="1" applyBorder="1" applyAlignment="1">
      <alignment horizontal="center" vertical="center" wrapText="1" readingOrder="1"/>
    </xf>
    <xf numFmtId="164" fontId="20" fillId="0" borderId="2" xfId="0" applyNumberFormat="1" applyFont="1" applyFill="1" applyBorder="1" applyAlignment="1">
      <alignment horizontal="center" vertical="top" wrapText="1" readingOrder="1"/>
    </xf>
    <xf numFmtId="0" fontId="27" fillId="0" borderId="19" xfId="0" applyFont="1" applyFill="1" applyBorder="1" applyAlignment="1">
      <alignment horizontal="center" wrapText="1" readingOrder="1"/>
    </xf>
    <xf numFmtId="0" fontId="27" fillId="0" borderId="19" xfId="0" applyFont="1" applyFill="1" applyBorder="1" applyAlignment="1">
      <alignment horizontal="left" wrapText="1" readingOrder="1"/>
    </xf>
    <xf numFmtId="0" fontId="27" fillId="0" borderId="19" xfId="0" applyFont="1" applyFill="1" applyBorder="1" applyAlignment="1">
      <alignment wrapText="1" readingOrder="1"/>
    </xf>
    <xf numFmtId="2" fontId="20" fillId="0" borderId="19" xfId="0" applyNumberFormat="1" applyFont="1" applyFill="1" applyBorder="1" applyAlignment="1">
      <alignment horizontal="center" vertical="center" wrapText="1" readingOrder="1"/>
    </xf>
    <xf numFmtId="164" fontId="20" fillId="0" borderId="6" xfId="0" applyNumberFormat="1" applyFont="1" applyFill="1" applyBorder="1" applyAlignment="1">
      <alignment horizontal="center" vertical="top" wrapText="1" readingOrder="1"/>
    </xf>
    <xf numFmtId="0" fontId="27" fillId="0" borderId="19" xfId="0" applyFont="1" applyFill="1" applyBorder="1" applyAlignment="1">
      <alignment vertical="center" wrapText="1" readingOrder="1"/>
    </xf>
    <xf numFmtId="2" fontId="20" fillId="0" borderId="6" xfId="0" applyNumberFormat="1" applyFont="1" applyFill="1" applyBorder="1" applyAlignment="1">
      <alignment horizontal="center" vertical="center" wrapText="1" readingOrder="1"/>
    </xf>
    <xf numFmtId="0" fontId="27" fillId="0" borderId="6" xfId="0" applyFont="1" applyFill="1" applyBorder="1" applyAlignment="1">
      <alignment horizontal="center" wrapText="1" readingOrder="1"/>
    </xf>
    <xf numFmtId="0" fontId="27" fillId="0" borderId="6" xfId="0" applyFont="1" applyFill="1" applyBorder="1" applyAlignment="1">
      <alignment horizontal="left" wrapText="1" readingOrder="1"/>
    </xf>
    <xf numFmtId="0" fontId="27" fillId="0" borderId="6" xfId="0" applyFont="1" applyFill="1" applyBorder="1" applyAlignment="1">
      <alignment wrapText="1" readingOrder="1"/>
    </xf>
    <xf numFmtId="2" fontId="20" fillId="0" borderId="1" xfId="0" applyNumberFormat="1" applyFont="1" applyFill="1" applyBorder="1" applyAlignment="1">
      <alignment horizontal="center" vertical="center" wrapText="1" readingOrder="1"/>
    </xf>
    <xf numFmtId="0" fontId="27" fillId="0" borderId="6" xfId="0" applyFont="1" applyFill="1" applyBorder="1" applyAlignment="1">
      <alignment vertical="center" wrapText="1" readingOrder="1"/>
    </xf>
    <xf numFmtId="49" fontId="21" fillId="0" borderId="1" xfId="0" applyNumberFormat="1" applyFont="1" applyFill="1" applyBorder="1" applyAlignment="1">
      <alignment horizontal="center" vertical="center" wrapText="1" readingOrder="1"/>
    </xf>
    <xf numFmtId="49" fontId="20" fillId="0" borderId="1" xfId="0" applyNumberFormat="1" applyFont="1" applyFill="1" applyBorder="1" applyAlignment="1">
      <alignment horizontal="left" vertical="top" wrapText="1" readingOrder="1"/>
    </xf>
    <xf numFmtId="49" fontId="20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left" wrapText="1" readingOrder="1"/>
    </xf>
    <xf numFmtId="4" fontId="20" fillId="0" borderId="19" xfId="0" applyNumberFormat="1" applyFont="1" applyFill="1" applyBorder="1" applyAlignment="1">
      <alignment horizontal="center" vertical="center" wrapText="1" readingOrder="1"/>
    </xf>
    <xf numFmtId="4" fontId="20" fillId="0" borderId="6" xfId="0" applyNumberFormat="1" applyFont="1" applyFill="1" applyBorder="1" applyAlignment="1">
      <alignment horizontal="center" vertical="center" wrapText="1" readingOrder="1"/>
    </xf>
    <xf numFmtId="49" fontId="20" fillId="0" borderId="5" xfId="0" applyNumberFormat="1" applyFont="1" applyFill="1" applyBorder="1" applyAlignment="1">
      <alignment horizontal="center" vertical="center" wrapText="1" readingOrder="1"/>
    </xf>
    <xf numFmtId="49" fontId="20" fillId="0" borderId="37" xfId="0" applyNumberFormat="1" applyFont="1" applyFill="1" applyBorder="1" applyAlignment="1">
      <alignment horizontal="center" vertical="center" wrapText="1" readingOrder="1"/>
    </xf>
    <xf numFmtId="0" fontId="20" fillId="0" borderId="19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left" vertical="center" wrapText="1" readingOrder="1"/>
    </xf>
    <xf numFmtId="49" fontId="20" fillId="0" borderId="19" xfId="0" applyNumberFormat="1" applyFont="1" applyFill="1" applyBorder="1" applyAlignment="1">
      <alignment vertical="center" wrapText="1" readingOrder="1"/>
    </xf>
    <xf numFmtId="0" fontId="27" fillId="0" borderId="2" xfId="0" applyFont="1" applyFill="1" applyBorder="1" applyAlignment="1">
      <alignment horizontal="left" wrapText="1" readingOrder="1"/>
    </xf>
    <xf numFmtId="49" fontId="27" fillId="0" borderId="2" xfId="0" applyNumberFormat="1" applyFont="1" applyFill="1" applyBorder="1" applyAlignment="1">
      <alignment horizontal="center" vertical="center" wrapText="1" readingOrder="1"/>
    </xf>
    <xf numFmtId="49" fontId="27" fillId="0" borderId="19" xfId="0" applyNumberFormat="1" applyFont="1" applyFill="1" applyBorder="1" applyAlignment="1">
      <alignment horizontal="center" vertical="center" wrapText="1" readingOrder="1"/>
    </xf>
    <xf numFmtId="49" fontId="20" fillId="0" borderId="6" xfId="0" applyNumberFormat="1" applyFont="1" applyFill="1" applyBorder="1" applyAlignment="1">
      <alignment vertical="center" wrapText="1" readingOrder="1"/>
    </xf>
    <xf numFmtId="49" fontId="21" fillId="0" borderId="1" xfId="0" applyNumberFormat="1" applyFont="1" applyFill="1" applyBorder="1" applyAlignment="1">
      <alignment horizontal="left" vertical="center" wrapText="1" readingOrder="1"/>
    </xf>
    <xf numFmtId="4" fontId="21" fillId="0" borderId="19" xfId="0" applyNumberFormat="1" applyFont="1" applyFill="1" applyBorder="1" applyAlignment="1">
      <alignment horizontal="center" vertical="center" wrapText="1" readingOrder="1"/>
    </xf>
    <xf numFmtId="0" fontId="27" fillId="0" borderId="6" xfId="0" applyFont="1" applyFill="1" applyBorder="1" applyAlignment="1">
      <alignment horizontal="center" vertical="top" wrapText="1" readingOrder="1"/>
    </xf>
    <xf numFmtId="4" fontId="21" fillId="0" borderId="19" xfId="0" applyNumberFormat="1" applyFont="1" applyFill="1" applyBorder="1" applyAlignment="1">
      <alignment horizontal="center" vertical="top" wrapText="1" readingOrder="1"/>
    </xf>
    <xf numFmtId="49" fontId="20" fillId="0" borderId="21" xfId="0" applyNumberFormat="1" applyFont="1" applyFill="1" applyBorder="1" applyAlignment="1">
      <alignment horizontal="center" vertical="center" wrapText="1" readingOrder="1"/>
    </xf>
    <xf numFmtId="4" fontId="21" fillId="0" borderId="2" xfId="0" applyNumberFormat="1" applyFont="1" applyFill="1" applyBorder="1" applyAlignment="1">
      <alignment horizontal="center" vertical="top" wrapText="1"/>
    </xf>
    <xf numFmtId="4" fontId="21" fillId="0" borderId="19" xfId="0" applyNumberFormat="1" applyFont="1" applyFill="1" applyBorder="1" applyAlignment="1">
      <alignment horizontal="center" vertical="top" wrapText="1"/>
    </xf>
    <xf numFmtId="4" fontId="21" fillId="0" borderId="6" xfId="0" applyNumberFormat="1" applyFont="1" applyFill="1" applyBorder="1" applyAlignment="1">
      <alignment horizontal="center" vertical="top" wrapText="1"/>
    </xf>
    <xf numFmtId="0" fontId="20" fillId="0" borderId="37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readingOrder="1"/>
    </xf>
    <xf numFmtId="4" fontId="20" fillId="0" borderId="37" xfId="0" applyNumberFormat="1" applyFont="1" applyFill="1" applyBorder="1" applyAlignment="1">
      <alignment horizontal="center" vertical="top" wrapText="1"/>
    </xf>
    <xf numFmtId="4" fontId="20" fillId="0" borderId="5" xfId="0" applyNumberFormat="1" applyFont="1" applyFill="1" applyBorder="1" applyAlignment="1">
      <alignment horizontal="center" vertical="top" wrapText="1"/>
    </xf>
    <xf numFmtId="4" fontId="20" fillId="0" borderId="21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horizontal="center" vertical="center" wrapText="1" readingOrder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6" xfId="0" applyNumberFormat="1" applyFont="1" applyFill="1" applyBorder="1" applyAlignment="1">
      <alignment horizontal="center" vertical="center" wrapText="1" readingOrder="1"/>
    </xf>
    <xf numFmtId="0" fontId="21" fillId="0" borderId="37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5" xfId="0" applyFont="1" applyFill="1" applyBorder="1" applyAlignment="1">
      <alignment horizontal="center" vertical="center" wrapText="1" readingOrder="1"/>
    </xf>
    <xf numFmtId="0" fontId="20" fillId="0" borderId="36" xfId="0" applyFont="1" applyFill="1" applyBorder="1" applyAlignment="1">
      <alignment horizontal="center" vertical="center" wrapText="1" readingOrder="1"/>
    </xf>
    <xf numFmtId="0" fontId="20" fillId="0" borderId="22" xfId="0" applyFont="1" applyFill="1" applyBorder="1" applyAlignment="1">
      <alignment horizontal="center" vertical="center" wrapText="1" readingOrder="1"/>
    </xf>
    <xf numFmtId="0" fontId="20" fillId="0" borderId="37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vertical="center" wrapText="1" readingOrder="1"/>
    </xf>
    <xf numFmtId="0" fontId="20" fillId="0" borderId="29" xfId="0" applyFont="1" applyFill="1" applyBorder="1" applyAlignment="1">
      <alignment horizontal="center" vertical="center" wrapText="1" readingOrder="1"/>
    </xf>
    <xf numFmtId="0" fontId="20" fillId="0" borderId="21" xfId="0" applyFont="1" applyFill="1" applyBorder="1" applyAlignment="1">
      <alignment horizontal="center" vertical="center" wrapText="1" readingOrder="1"/>
    </xf>
    <xf numFmtId="0" fontId="20" fillId="0" borderId="38" xfId="0" applyFont="1" applyFill="1" applyBorder="1" applyAlignment="1">
      <alignment horizontal="center" vertical="center" wrapText="1" readingOrder="1"/>
    </xf>
    <xf numFmtId="0" fontId="20" fillId="0" borderId="20" xfId="0" applyFont="1" applyFill="1" applyBorder="1" applyAlignment="1">
      <alignment horizontal="center" vertical="center" wrapText="1" readingOrder="1"/>
    </xf>
    <xf numFmtId="0" fontId="31" fillId="0" borderId="19" xfId="0" applyFont="1" applyFill="1" applyBorder="1" applyAlignment="1">
      <alignment horizontal="left" vertical="center" wrapText="1" readingOrder="1"/>
    </xf>
    <xf numFmtId="0" fontId="24" fillId="0" borderId="2" xfId="0" applyFont="1" applyFill="1" applyBorder="1" applyAlignment="1">
      <alignment horizontal="center" vertical="center" wrapText="1" readingOrder="1"/>
    </xf>
    <xf numFmtId="164" fontId="20" fillId="0" borderId="19" xfId="0" applyNumberFormat="1" applyFont="1" applyFill="1" applyBorder="1" applyAlignment="1">
      <alignment horizontal="center" vertical="top" wrapText="1" readingOrder="1"/>
    </xf>
    <xf numFmtId="0" fontId="24" fillId="0" borderId="19" xfId="0" applyFont="1" applyFill="1" applyBorder="1" applyAlignment="1">
      <alignment horizontal="center" vertical="center" wrapText="1" readingOrder="1"/>
    </xf>
    <xf numFmtId="0" fontId="31" fillId="0" borderId="6" xfId="0" applyFont="1" applyFill="1" applyBorder="1" applyAlignment="1">
      <alignment horizontal="left" vertical="center" wrapText="1" readingOrder="1"/>
    </xf>
    <xf numFmtId="0" fontId="24" fillId="0" borderId="6" xfId="0" applyFont="1" applyFill="1" applyBorder="1" applyAlignment="1">
      <alignment horizontal="center" vertical="center" wrapText="1" readingOrder="1"/>
    </xf>
    <xf numFmtId="0" fontId="27" fillId="0" borderId="2" xfId="0" applyFont="1" applyFill="1" applyBorder="1" applyAlignment="1">
      <alignment horizontal="center" vertical="top" wrapText="1" readingOrder="1"/>
    </xf>
    <xf numFmtId="0" fontId="20" fillId="0" borderId="19" xfId="0" applyFont="1" applyFill="1" applyBorder="1" applyAlignment="1">
      <alignment horizontal="center" vertical="top" wrapText="1" readingOrder="1"/>
    </xf>
    <xf numFmtId="0" fontId="27" fillId="0" borderId="19" xfId="0" applyFont="1" applyFill="1" applyBorder="1" applyAlignment="1">
      <alignment readingOrder="1"/>
    </xf>
    <xf numFmtId="4" fontId="21" fillId="0" borderId="22" xfId="0" applyNumberFormat="1" applyFont="1" applyFill="1" applyBorder="1" applyAlignment="1">
      <alignment horizontal="center" vertical="center" wrapText="1" readingOrder="1"/>
    </xf>
    <xf numFmtId="4" fontId="20" fillId="0" borderId="29" xfId="0" applyNumberFormat="1" applyFont="1" applyFill="1" applyBorder="1" applyAlignment="1">
      <alignment horizontal="center" vertical="center" wrapText="1" readingOrder="1"/>
    </xf>
    <xf numFmtId="0" fontId="27" fillId="0" borderId="6" xfId="0" applyFont="1" applyFill="1" applyBorder="1" applyAlignment="1">
      <alignment readingOrder="1"/>
    </xf>
    <xf numFmtId="164" fontId="27" fillId="0" borderId="2" xfId="0" applyNumberFormat="1" applyFont="1" applyFill="1" applyBorder="1" applyAlignment="1">
      <alignment horizontal="center" vertical="center" wrapText="1" readingOrder="1"/>
    </xf>
    <xf numFmtId="49" fontId="20" fillId="0" borderId="2" xfId="0" applyNumberFormat="1" applyFont="1" applyFill="1" applyBorder="1" applyAlignment="1">
      <alignment horizontal="center" vertical="top" readingOrder="1"/>
    </xf>
    <xf numFmtId="4" fontId="21" fillId="0" borderId="36" xfId="0" applyNumberFormat="1" applyFont="1" applyFill="1" applyBorder="1" applyAlignment="1">
      <alignment horizontal="center" vertical="center" wrapText="1" readingOrder="1"/>
    </xf>
    <xf numFmtId="0" fontId="27" fillId="0" borderId="19" xfId="0" applyFont="1" applyFill="1" applyBorder="1" applyAlignment="1">
      <alignment vertical="top" readingOrder="1"/>
    </xf>
    <xf numFmtId="4" fontId="20" fillId="0" borderId="0" xfId="0" applyNumberFormat="1" applyFont="1" applyFill="1" applyBorder="1" applyAlignment="1">
      <alignment horizontal="center" vertical="center" wrapText="1" readingOrder="1"/>
    </xf>
    <xf numFmtId="4" fontId="20" fillId="0" borderId="38" xfId="0" applyNumberFormat="1" applyFont="1" applyFill="1" applyBorder="1" applyAlignment="1">
      <alignment horizontal="center" vertical="center" wrapText="1" readingOrder="1"/>
    </xf>
    <xf numFmtId="4" fontId="20" fillId="0" borderId="2" xfId="0" applyNumberFormat="1" applyFont="1" applyFill="1" applyBorder="1" applyAlignment="1">
      <alignment horizontal="center" vertical="center" wrapText="1" readingOrder="1"/>
    </xf>
    <xf numFmtId="4" fontId="20" fillId="0" borderId="36" xfId="0" applyNumberFormat="1" applyFont="1" applyFill="1" applyBorder="1" applyAlignment="1">
      <alignment horizontal="center" vertical="center" wrapText="1" readingOrder="1"/>
    </xf>
    <xf numFmtId="4" fontId="20" fillId="0" borderId="19" xfId="0" applyNumberFormat="1" applyFont="1" applyFill="1" applyBorder="1" applyAlignment="1">
      <alignment horizontal="center" vertical="top" wrapText="1" readingOrder="1"/>
    </xf>
    <xf numFmtId="49" fontId="20" fillId="0" borderId="21" xfId="0" applyNumberFormat="1" applyFont="1" applyFill="1" applyBorder="1" applyAlignment="1">
      <alignment horizontal="center" vertical="top" wrapText="1" readingOrder="1"/>
    </xf>
    <xf numFmtId="49" fontId="20" fillId="0" borderId="38" xfId="0" applyNumberFormat="1" applyFont="1" applyFill="1" applyBorder="1" applyAlignment="1">
      <alignment horizontal="center" vertical="top" wrapText="1" readingOrder="1"/>
    </xf>
    <xf numFmtId="49" fontId="20" fillId="0" borderId="20" xfId="0" applyNumberFormat="1" applyFont="1" applyFill="1" applyBorder="1" applyAlignment="1">
      <alignment horizontal="center" vertical="top" wrapText="1" readingOrder="1"/>
    </xf>
    <xf numFmtId="0" fontId="20" fillId="0" borderId="1" xfId="0" applyFont="1" applyFill="1" applyBorder="1" applyAlignment="1">
      <alignment horizontal="left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4" fontId="20" fillId="0" borderId="29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wrapText="1"/>
    </xf>
    <xf numFmtId="0" fontId="27" fillId="0" borderId="2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49" fontId="32" fillId="0" borderId="19" xfId="0" applyNumberFormat="1" applyFont="1" applyFill="1" applyBorder="1" applyAlignment="1">
      <alignment vertical="center" wrapText="1" readingOrder="1"/>
    </xf>
    <xf numFmtId="0" fontId="27" fillId="0" borderId="6" xfId="0" applyFont="1" applyFill="1" applyBorder="1" applyAlignment="1">
      <alignment horizontal="center" wrapText="1"/>
    </xf>
    <xf numFmtId="49" fontId="32" fillId="0" borderId="6" xfId="0" applyNumberFormat="1" applyFont="1" applyFill="1" applyBorder="1" applyAlignment="1">
      <alignment vertical="center" wrapText="1" readingOrder="1"/>
    </xf>
    <xf numFmtId="49" fontId="21" fillId="0" borderId="6" xfId="0" applyNumberFormat="1" applyFont="1" applyFill="1" applyBorder="1" applyAlignment="1">
      <alignment horizontal="center" vertical="top" wrapText="1" readingOrder="1"/>
    </xf>
    <xf numFmtId="49" fontId="21" fillId="0" borderId="50" xfId="0" applyNumberFormat="1" applyFont="1" applyFill="1" applyBorder="1" applyAlignment="1">
      <alignment horizontal="left" vertical="top" wrapText="1" readingOrder="1"/>
    </xf>
    <xf numFmtId="49" fontId="21" fillId="0" borderId="39" xfId="0" applyNumberFormat="1" applyFont="1" applyFill="1" applyBorder="1" applyAlignment="1">
      <alignment horizontal="left" vertical="top" wrapText="1" readingOrder="1"/>
    </xf>
    <xf numFmtId="49" fontId="21" fillId="0" borderId="23" xfId="0" applyNumberFormat="1" applyFont="1" applyFill="1" applyBorder="1" applyAlignment="1">
      <alignment horizontal="left" vertical="top" wrapText="1" readingOrder="1"/>
    </xf>
    <xf numFmtId="49" fontId="20" fillId="0" borderId="50" xfId="0" applyNumberFormat="1" applyFont="1" applyFill="1" applyBorder="1" applyAlignment="1">
      <alignment horizontal="left" vertical="center" wrapText="1" readingOrder="1"/>
    </xf>
    <xf numFmtId="49" fontId="20" fillId="0" borderId="39" xfId="0" applyNumberFormat="1" applyFont="1" applyFill="1" applyBorder="1" applyAlignment="1">
      <alignment horizontal="left" vertical="center" wrapText="1" readingOrder="1"/>
    </xf>
    <xf numFmtId="49" fontId="20" fillId="0" borderId="23" xfId="0" applyNumberFormat="1" applyFont="1" applyFill="1" applyBorder="1" applyAlignment="1">
      <alignment horizontal="left" vertical="center" wrapText="1" readingOrder="1"/>
    </xf>
    <xf numFmtId="0" fontId="20" fillId="0" borderId="50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left" vertical="top" wrapText="1"/>
    </xf>
    <xf numFmtId="4" fontId="21" fillId="0" borderId="33" xfId="0" applyNumberFormat="1" applyFont="1" applyFill="1" applyBorder="1" applyAlignment="1">
      <alignment horizontal="center" vertical="center" wrapText="1"/>
    </xf>
    <xf numFmtId="4" fontId="21" fillId="0" borderId="34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top" wrapText="1"/>
    </xf>
    <xf numFmtId="4" fontId="27" fillId="0" borderId="1" xfId="0" applyNumberFormat="1" applyFont="1" applyFill="1" applyBorder="1" applyAlignment="1">
      <alignment horizontal="center" vertical="center" wrapText="1"/>
    </xf>
    <xf numFmtId="4" fontId="27" fillId="0" borderId="12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top" wrapText="1"/>
    </xf>
    <xf numFmtId="4" fontId="21" fillId="0" borderId="13" xfId="0" applyNumberFormat="1" applyFont="1" applyFill="1" applyBorder="1" applyAlignment="1">
      <alignment horizontal="center" vertical="center" wrapText="1"/>
    </xf>
    <xf numFmtId="14" fontId="33" fillId="2" borderId="0" xfId="0" applyNumberFormat="1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top" wrapText="1"/>
    </xf>
    <xf numFmtId="0" fontId="33" fillId="2" borderId="38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13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2" fontId="7" fillId="0" borderId="3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</cellXfs>
  <cellStyles count="5">
    <cellStyle name="xl29" xfId="1"/>
    <cellStyle name="xl38" xfId="2"/>
    <cellStyle name="Обычный" xfId="0" builtinId="0"/>
    <cellStyle name="Обычный 2" xfId="3"/>
    <cellStyle name="Процентный" xfId="4" builtinId="5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zoomScale="130" zoomScaleNormal="130" zoomScaleSheetLayoutView="100" workbookViewId="0">
      <pane ySplit="5" topLeftCell="A6" activePane="bottomLeft" state="frozen"/>
      <selection pane="bottomLeft" activeCell="H12" sqref="H12"/>
    </sheetView>
  </sheetViews>
  <sheetFormatPr defaultColWidth="9.140625" defaultRowHeight="11.25" x14ac:dyDescent="0.2"/>
  <cols>
    <col min="1" max="1" width="3" style="67" customWidth="1"/>
    <col min="2" max="2" width="10.42578125" style="67" customWidth="1"/>
    <col min="3" max="3" width="25.5703125" style="335" customWidth="1"/>
    <col min="4" max="4" width="10.7109375" style="29" customWidth="1"/>
    <col min="5" max="5" width="14.42578125" style="29" customWidth="1"/>
    <col min="6" max="9" width="12" style="29" customWidth="1"/>
    <col min="10" max="11" width="11.140625" style="29" customWidth="1"/>
    <col min="12" max="16384" width="9.140625" style="29"/>
  </cols>
  <sheetData>
    <row r="1" spans="1:12" ht="20.25" customHeight="1" x14ac:dyDescent="0.2">
      <c r="A1" s="417" t="s">
        <v>306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54"/>
    </row>
    <row r="2" spans="1:12" ht="30.75" customHeight="1" x14ac:dyDescent="0.2">
      <c r="A2" s="1328">
        <v>44943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54"/>
    </row>
    <row r="3" spans="1:12" ht="12" customHeight="1" x14ac:dyDescent="0.2">
      <c r="A3" s="1330"/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54"/>
    </row>
    <row r="4" spans="1:12" ht="16.5" customHeight="1" x14ac:dyDescent="0.2">
      <c r="A4" s="420" t="s">
        <v>346</v>
      </c>
      <c r="B4" s="421" t="s">
        <v>347</v>
      </c>
      <c r="C4" s="421" t="s">
        <v>348</v>
      </c>
      <c r="D4" s="421" t="s">
        <v>349</v>
      </c>
      <c r="E4" s="420" t="s">
        <v>54</v>
      </c>
      <c r="F4" s="418">
        <v>2019</v>
      </c>
      <c r="G4" s="418">
        <v>2020</v>
      </c>
      <c r="H4" s="418">
        <v>2021</v>
      </c>
      <c r="I4" s="1333">
        <v>2022</v>
      </c>
      <c r="J4" s="423">
        <v>2023</v>
      </c>
      <c r="K4" s="423">
        <v>2024</v>
      </c>
      <c r="L4" s="54"/>
    </row>
    <row r="5" spans="1:12" ht="18" customHeight="1" x14ac:dyDescent="0.2">
      <c r="A5" s="420"/>
      <c r="B5" s="422"/>
      <c r="C5" s="422"/>
      <c r="D5" s="422"/>
      <c r="E5" s="420"/>
      <c r="F5" s="419"/>
      <c r="G5" s="419"/>
      <c r="H5" s="419"/>
      <c r="I5" s="1333"/>
      <c r="J5" s="423"/>
      <c r="K5" s="423"/>
    </row>
    <row r="6" spans="1:12" s="339" customFormat="1" ht="14.45" customHeight="1" thickBot="1" x14ac:dyDescent="0.25">
      <c r="A6" s="332">
        <v>1</v>
      </c>
      <c r="B6" s="332">
        <v>2</v>
      </c>
      <c r="C6" s="332">
        <v>3</v>
      </c>
      <c r="D6" s="332">
        <v>4</v>
      </c>
      <c r="E6" s="414">
        <v>5</v>
      </c>
      <c r="F6" s="394">
        <v>6</v>
      </c>
      <c r="G6" s="394">
        <v>7</v>
      </c>
      <c r="H6" s="394">
        <v>8</v>
      </c>
      <c r="I6" s="414">
        <v>9</v>
      </c>
      <c r="J6" s="332">
        <v>10</v>
      </c>
      <c r="K6" s="332">
        <v>11</v>
      </c>
      <c r="L6" s="338"/>
    </row>
    <row r="7" spans="1:12" s="11" customFormat="1" ht="14.25" customHeight="1" x14ac:dyDescent="0.2">
      <c r="A7" s="427">
        <v>1</v>
      </c>
      <c r="B7" s="430" t="s">
        <v>352</v>
      </c>
      <c r="C7" s="424" t="s">
        <v>305</v>
      </c>
      <c r="D7" s="408" t="s">
        <v>11</v>
      </c>
      <c r="E7" s="360">
        <f>SUM(F7:K7)</f>
        <v>1460645.6940000001</v>
      </c>
      <c r="F7" s="360">
        <f t="shared" ref="F7:K7" si="0">SUM(F8:F9)</f>
        <v>203282.80400000003</v>
      </c>
      <c r="G7" s="360">
        <f>SUM(G8:G9)</f>
        <v>218276.63000000003</v>
      </c>
      <c r="H7" s="360">
        <f t="shared" si="0"/>
        <v>258799.8</v>
      </c>
      <c r="I7" s="360">
        <f t="shared" si="0"/>
        <v>277613.39</v>
      </c>
      <c r="J7" s="360">
        <f t="shared" si="0"/>
        <v>251656.12000000005</v>
      </c>
      <c r="K7" s="361">
        <f t="shared" si="0"/>
        <v>251016.95</v>
      </c>
      <c r="L7" s="56"/>
    </row>
    <row r="8" spans="1:12" s="11" customFormat="1" ht="14.25" customHeight="1" x14ac:dyDescent="0.2">
      <c r="A8" s="428"/>
      <c r="B8" s="431"/>
      <c r="C8" s="425"/>
      <c r="D8" s="362" t="s">
        <v>5</v>
      </c>
      <c r="E8" s="1334">
        <f>SUM(F8:K8)</f>
        <v>382521.304</v>
      </c>
      <c r="F8" s="363">
        <f>Модернизация!F263</f>
        <v>63638.853999999992</v>
      </c>
      <c r="G8" s="363">
        <f>Модернизация!G263</f>
        <v>59280.719999999994</v>
      </c>
      <c r="H8" s="363">
        <f>Модернизация!H263</f>
        <v>68395.5</v>
      </c>
      <c r="I8" s="363">
        <f>Модернизация!I263</f>
        <v>68940.22</v>
      </c>
      <c r="J8" s="363">
        <f>Модернизация!J263</f>
        <v>62161.55</v>
      </c>
      <c r="K8" s="363">
        <f>Модернизация!K263</f>
        <v>60104.46</v>
      </c>
      <c r="L8" s="56"/>
    </row>
    <row r="9" spans="1:12" s="11" customFormat="1" ht="14.25" customHeight="1" thickBot="1" x14ac:dyDescent="0.25">
      <c r="A9" s="429"/>
      <c r="B9" s="432"/>
      <c r="C9" s="426"/>
      <c r="D9" s="364" t="s">
        <v>6</v>
      </c>
      <c r="E9" s="1335">
        <f>SUM(F9:K9)</f>
        <v>1078124.3900000001</v>
      </c>
      <c r="F9" s="365">
        <f>Модернизация!F264</f>
        <v>139643.95000000004</v>
      </c>
      <c r="G9" s="365">
        <f>Модернизация!G264</f>
        <v>158995.91000000003</v>
      </c>
      <c r="H9" s="365">
        <f>Модернизация!H264</f>
        <v>190404.3</v>
      </c>
      <c r="I9" s="365">
        <f>Модернизация!I264</f>
        <v>208673.17</v>
      </c>
      <c r="J9" s="365">
        <f>Модернизация!J264</f>
        <v>189494.57000000004</v>
      </c>
      <c r="K9" s="365">
        <f>Модернизация!K264</f>
        <v>190912.49000000002</v>
      </c>
      <c r="L9" s="56"/>
    </row>
    <row r="10" spans="1:12" s="11" customFormat="1" ht="14.25" customHeight="1" x14ac:dyDescent="0.2">
      <c r="A10" s="342"/>
      <c r="B10" s="343"/>
      <c r="C10" s="336" t="s">
        <v>331</v>
      </c>
      <c r="D10" s="344" t="s">
        <v>11</v>
      </c>
      <c r="E10" s="398">
        <f>Модернизация!E17</f>
        <v>605274.27</v>
      </c>
      <c r="F10" s="398">
        <f>Модернизация!F17+Модернизация!F93+Модернизация!F150+Модернизация!F153+Модернизация!F181+Модернизация!F184+Модернизация!F193+Модернизация!F196+Модернизация!F248</f>
        <v>95244.73000000001</v>
      </c>
      <c r="G10" s="398">
        <f>Модернизация!G17+Модернизация!G93+Модернизация!G150+Модернизация!G153+Модернизация!G181+Модернизация!G184+Модернизация!G193+Модернизация!G196+Модернизация!G248</f>
        <v>92031.92</v>
      </c>
      <c r="H10" s="398">
        <f>Модернизация!H17+Модернизация!H93+Модернизация!H150+Модернизация!H153+Модернизация!H181+Модернизация!H184+Модернизация!H193+Модернизация!H196+Модернизация!H248</f>
        <v>108248.68999999999</v>
      </c>
      <c r="I10" s="398">
        <f>Модернизация!I17+Модернизация!I93+Модернизация!I150+Модернизация!I153+Модернизация!I181+Модернизация!I184+Модернизация!I193+Модернизация!I196+Модернизация!I248</f>
        <v>108059.76999999999</v>
      </c>
      <c r="J10" s="399">
        <f>Модернизация!J17+Модернизация!J93+Модернизация!J150+Модернизация!J153+Модернизация!J181+Модернизация!J184+Модернизация!J193+Модернизация!J196+Модернизация!J248</f>
        <v>100633.16</v>
      </c>
      <c r="K10" s="399">
        <f>Модернизация!K17+Модернизация!K93+Модернизация!K150+Модернизация!K153+Модернизация!K181+Модернизация!K184+Модернизация!K193+Модернизация!K196+Модернизация!K248</f>
        <v>102621.48000000001</v>
      </c>
      <c r="L10" s="56"/>
    </row>
    <row r="11" spans="1:12" s="11" customFormat="1" ht="14.25" customHeight="1" x14ac:dyDescent="0.2">
      <c r="A11" s="331"/>
      <c r="B11" s="340"/>
      <c r="C11" s="337" t="s">
        <v>51</v>
      </c>
      <c r="D11" s="333" t="s">
        <v>11</v>
      </c>
      <c r="E11" s="400">
        <f>Модернизация!E25+Модернизация!E72+Модернизация!E147</f>
        <v>639569.3600000001</v>
      </c>
      <c r="F11" s="400">
        <f>Модернизация!F25+Модернизация!F45+Модернизация!F63+Модернизация!F132+Модернизация!F138+Модернизация!F141+Модернизация!F147+Модернизация!F178+Модернизация!F187+Модернизация!F251</f>
        <v>93378.434000000023</v>
      </c>
      <c r="G11" s="400">
        <f>Модернизация!G25+Модернизация!G45+Модернизация!G63+Модернизация!G132+Модернизация!G138+Модернизация!G141+Модернизация!G147+Модернизация!G178+Модернизация!G187+Модернизация!G251</f>
        <v>100897.96</v>
      </c>
      <c r="H11" s="400">
        <f>Модернизация!H25+Модернизация!H45+Модернизация!H63+Модернизация!H132+Модернизация!H138+Модернизация!H141+Модернизация!H147+Модернизация!H178+Модернизация!H187+Модернизация!H251</f>
        <v>124833.79</v>
      </c>
      <c r="I11" s="400">
        <f>Модернизация!I25+Модернизация!I45+Модернизация!I63+Модернизация!I132+Модернизация!I138+Модернизация!I141+Модернизация!I147+Модернизация!I178+Модернизация!I187+Модернизация!I251</f>
        <v>134349.25</v>
      </c>
      <c r="J11" s="401">
        <f>Модернизация!J25+Модернизация!J45+Модернизация!J63+Модернизация!J132+Модернизация!J138+Модернизация!J141+Модернизация!J147+Модернизация!J178+Модернизация!J187+Модернизация!J251</f>
        <v>128400.32000000002</v>
      </c>
      <c r="K11" s="401">
        <f>Модернизация!K25+Модернизация!K45+Модернизация!K63+Модернизация!K132+Модернизация!K138+Модернизация!K141+Модернизация!K147+Модернизация!K178+Модернизация!K187+Модернизация!K251</f>
        <v>128725.35</v>
      </c>
      <c r="L11" s="56"/>
    </row>
    <row r="12" spans="1:12" ht="14.25" customHeight="1" x14ac:dyDescent="0.2">
      <c r="A12" s="341"/>
      <c r="B12" s="341"/>
      <c r="C12" s="337" t="s">
        <v>392</v>
      </c>
      <c r="D12" s="333" t="s">
        <v>11</v>
      </c>
      <c r="E12" s="400">
        <f>Модернизация!E30</f>
        <v>96837.890000000014</v>
      </c>
      <c r="F12" s="400">
        <f>Модернизация!F30+Модернизация!F254</f>
        <v>12485.93</v>
      </c>
      <c r="G12" s="400">
        <f>Модернизация!G30+Модернизация!G254</f>
        <v>13965.6</v>
      </c>
      <c r="H12" s="400">
        <f>Модернизация!H30+Модернизация!H254</f>
        <v>16746.100000000002</v>
      </c>
      <c r="I12" s="400">
        <f>Модернизация!I30+Модернизация!I254</f>
        <v>18314.27</v>
      </c>
      <c r="J12" s="401">
        <f>Модернизация!J30+Модернизация!J254</f>
        <v>17849.02</v>
      </c>
      <c r="K12" s="401">
        <f>Модернизация!K30+Модернизация!K254</f>
        <v>17758.490000000002</v>
      </c>
      <c r="L12" s="55"/>
    </row>
    <row r="13" spans="1:12" ht="19.5" customHeight="1" x14ac:dyDescent="0.2">
      <c r="A13" s="341"/>
      <c r="B13" s="341"/>
      <c r="C13" s="337" t="s">
        <v>307</v>
      </c>
      <c r="D13" s="333" t="s">
        <v>11</v>
      </c>
      <c r="E13" s="400">
        <f>Модернизация!E58</f>
        <v>84</v>
      </c>
      <c r="F13" s="400">
        <f>Модернизация!F58</f>
        <v>14</v>
      </c>
      <c r="G13" s="400">
        <f>Модернизация!G58</f>
        <v>14</v>
      </c>
      <c r="H13" s="400">
        <f>Модернизация!H58</f>
        <v>14</v>
      </c>
      <c r="I13" s="400">
        <f>Модернизация!I58</f>
        <v>14</v>
      </c>
      <c r="J13" s="401">
        <f>Модернизация!J58</f>
        <v>14</v>
      </c>
      <c r="K13" s="401">
        <f>Модернизация!K58</f>
        <v>14</v>
      </c>
      <c r="L13" s="55"/>
    </row>
    <row r="14" spans="1:12" ht="14.25" customHeight="1" x14ac:dyDescent="0.2">
      <c r="A14" s="341"/>
      <c r="B14" s="341"/>
      <c r="C14" s="337" t="s">
        <v>317</v>
      </c>
      <c r="D14" s="333" t="s">
        <v>11</v>
      </c>
      <c r="E14" s="400">
        <f>Модернизация!E33</f>
        <v>252.89000000000001</v>
      </c>
      <c r="F14" s="400">
        <f>Модернизация!F33</f>
        <v>37.29</v>
      </c>
      <c r="G14" s="400">
        <f>Модернизация!G33</f>
        <v>28.5</v>
      </c>
      <c r="H14" s="400">
        <f>Модернизация!H33</f>
        <v>26.9</v>
      </c>
      <c r="I14" s="400">
        <f>Модернизация!I33</f>
        <v>53.4</v>
      </c>
      <c r="J14" s="401">
        <f>Модернизация!J33</f>
        <v>53.4</v>
      </c>
      <c r="K14" s="401">
        <f>Модернизация!K33</f>
        <v>53.4</v>
      </c>
      <c r="L14" s="55"/>
    </row>
    <row r="15" spans="1:12" ht="14.25" customHeight="1" thickBot="1" x14ac:dyDescent="0.25">
      <c r="A15" s="345"/>
      <c r="B15" s="345"/>
      <c r="C15" s="346" t="s">
        <v>146</v>
      </c>
      <c r="D15" s="347" t="s">
        <v>11</v>
      </c>
      <c r="E15" s="402">
        <f>Модернизация!E141</f>
        <v>155.52000000000001</v>
      </c>
      <c r="F15" s="402">
        <f>Модернизация!F36+Модернизация!F84+Модернизация!F87+Модернизация!F90+Модернизация!F99+Модернизация!F114+Модернизация!F117+Модернизация!F120+Модернизация!F126+Модернизация!F129+Модернизация!F135+Модернизация!F242</f>
        <v>2122.42</v>
      </c>
      <c r="G15" s="402">
        <f>Модернизация!G36+Модернизация!G84+Модернизация!G87+Модернизация!G90+Модернизация!G99+Модернизация!G114+Модернизация!G117+Модернизация!G120+Модернизация!G126+Модернизация!G129+Модернизация!G135+Модернизация!G242</f>
        <v>9377.7999999999993</v>
      </c>
      <c r="H15" s="402">
        <f>Модернизация!H36+Модернизация!H84+Модернизация!H87+Модернизация!H90+Модернизация!H99+Модернизация!H114+Модернизация!H117+Модернизация!H120+Модернизация!H126+Модернизация!H129+Модернизация!H135+Модернизация!H242</f>
        <v>7089.17</v>
      </c>
      <c r="I15" s="402">
        <f>Модернизация!I36+Модернизация!I84+Модернизация!I87+Модернизация!I90+Модернизация!I99+Модернизация!I114+Модернизация!I117+Модернизация!I120+Модернизация!I126+Модернизация!I129+Модернизация!I135+Модернизация!I242</f>
        <v>1230.0000000000002</v>
      </c>
      <c r="J15" s="403">
        <f>Модернизация!J36+Модернизация!J84+Модернизация!J87+Модернизация!J90+Модернизация!J99+Модернизация!J114+Модернизация!J117+Модернизация!J120+Модернизация!J126+Модернизация!J129+Модернизация!J135+Модернизация!J242</f>
        <v>2761.99</v>
      </c>
      <c r="K15" s="403">
        <f>Модернизация!K36+Модернизация!K84+Модернизация!K87+Модернизация!K90+Модернизация!K99+Модернизация!K114+Модернизация!K117+Модернизация!K120+Модернизация!K126+Модернизация!K129+Модернизация!K135+Модернизация!K242</f>
        <v>0</v>
      </c>
      <c r="L15" s="55"/>
    </row>
    <row r="16" spans="1:12" s="11" customFormat="1" ht="14.25" customHeight="1" x14ac:dyDescent="0.2">
      <c r="A16" s="427">
        <v>2</v>
      </c>
      <c r="B16" s="430" t="s">
        <v>353</v>
      </c>
      <c r="C16" s="433" t="s">
        <v>304</v>
      </c>
      <c r="D16" s="408" t="s">
        <v>11</v>
      </c>
      <c r="E16" s="360">
        <f t="shared" ref="E16:K16" si="1">E17+E18</f>
        <v>18080.150000000001</v>
      </c>
      <c r="F16" s="360">
        <f t="shared" si="1"/>
        <v>1417.9899999999998</v>
      </c>
      <c r="G16" s="360">
        <f t="shared" si="1"/>
        <v>1374.29</v>
      </c>
      <c r="H16" s="360">
        <f t="shared" si="1"/>
        <v>1839.08</v>
      </c>
      <c r="I16" s="360">
        <f t="shared" si="1"/>
        <v>9570.33</v>
      </c>
      <c r="J16" s="360">
        <f t="shared" si="1"/>
        <v>1937.73</v>
      </c>
      <c r="K16" s="361">
        <f t="shared" si="1"/>
        <v>1940.73</v>
      </c>
      <c r="L16" s="56"/>
    </row>
    <row r="17" spans="1:12" s="11" customFormat="1" ht="14.25" customHeight="1" x14ac:dyDescent="0.2">
      <c r="A17" s="428"/>
      <c r="B17" s="431"/>
      <c r="C17" s="434"/>
      <c r="D17" s="362" t="s">
        <v>5</v>
      </c>
      <c r="E17" s="1334">
        <f>SUM(F17:K17)</f>
        <v>5267.88</v>
      </c>
      <c r="F17" s="363">
        <f>'Молодежная политика'!F73</f>
        <v>833.81</v>
      </c>
      <c r="G17" s="363">
        <f>'Молодежная политика'!G73</f>
        <v>551.78</v>
      </c>
      <c r="H17" s="363">
        <f>'Молодежная политика'!H73</f>
        <v>1003.6</v>
      </c>
      <c r="I17" s="363">
        <f>'Молодежная политика'!I73</f>
        <v>843.63</v>
      </c>
      <c r="J17" s="363">
        <f>'Молодежная политика'!J73</f>
        <v>1016.03</v>
      </c>
      <c r="K17" s="366">
        <f>'Молодежная политика'!K73</f>
        <v>1019.03</v>
      </c>
      <c r="L17" s="56"/>
    </row>
    <row r="18" spans="1:12" s="11" customFormat="1" ht="14.25" customHeight="1" thickBot="1" x14ac:dyDescent="0.25">
      <c r="A18" s="429"/>
      <c r="B18" s="432"/>
      <c r="C18" s="435"/>
      <c r="D18" s="364" t="s">
        <v>6</v>
      </c>
      <c r="E18" s="1335">
        <f>SUM(F18:K18)</f>
        <v>12812.270000000002</v>
      </c>
      <c r="F18" s="365">
        <f>'Молодежная политика'!F74</f>
        <v>584.17999999999995</v>
      </c>
      <c r="G18" s="365">
        <f>'Молодежная политика'!G74</f>
        <v>822.51</v>
      </c>
      <c r="H18" s="365">
        <f>'Молодежная политика'!H74</f>
        <v>835.48</v>
      </c>
      <c r="I18" s="365">
        <f>'Молодежная политика'!I74</f>
        <v>8726.7000000000007</v>
      </c>
      <c r="J18" s="365">
        <f>'Молодежная политика'!J74</f>
        <v>921.7</v>
      </c>
      <c r="K18" s="367">
        <f>'Молодежная политика'!K74</f>
        <v>921.7</v>
      </c>
      <c r="L18" s="56"/>
    </row>
    <row r="19" spans="1:12" s="11" customFormat="1" ht="14.25" customHeight="1" x14ac:dyDescent="0.2">
      <c r="A19" s="342"/>
      <c r="B19" s="343"/>
      <c r="C19" s="336" t="s">
        <v>393</v>
      </c>
      <c r="D19" s="344" t="s">
        <v>11</v>
      </c>
      <c r="E19" s="398">
        <f>'Молодежная политика'!E11+'Молодежная политика'!E29+'Молодежная политика'!E61</f>
        <v>7098.9</v>
      </c>
      <c r="F19" s="398">
        <f>'Молодежная политика'!F11+'Молодежная политика'!F29+'Молодежная политика'!F61</f>
        <v>115</v>
      </c>
      <c r="G19" s="398">
        <f>'Молодежная политика'!G11+'Молодежная политика'!G29+'Молодежная политика'!G61</f>
        <v>105</v>
      </c>
      <c r="H19" s="398">
        <f>'Молодежная политика'!H11+'Молодежная политика'!H29+'Молодежная политика'!H61</f>
        <v>105</v>
      </c>
      <c r="I19" s="398">
        <f>'Молодежная политика'!I11+'Молодежная политика'!I29+'Молодежная политика'!I61</f>
        <v>6556.9</v>
      </c>
      <c r="J19" s="399">
        <f>'Молодежная политика'!J11+'Молодежная политика'!J29+'Молодежная политика'!J61</f>
        <v>107</v>
      </c>
      <c r="K19" s="399">
        <f>'Молодежная политика'!K11+'Молодежная политика'!K29+'Молодежная политика'!K61</f>
        <v>110</v>
      </c>
      <c r="L19" s="56"/>
    </row>
    <row r="20" spans="1:12" s="11" customFormat="1" ht="25.9" customHeight="1" x14ac:dyDescent="0.2">
      <c r="A20" s="331"/>
      <c r="B20" s="340"/>
      <c r="C20" s="337" t="s">
        <v>394</v>
      </c>
      <c r="D20" s="333" t="s">
        <v>11</v>
      </c>
      <c r="E20" s="400">
        <f>'Молодежная политика'!E36</f>
        <v>6285.76</v>
      </c>
      <c r="F20" s="400">
        <f>'Молодежная политика'!F36</f>
        <v>805.89</v>
      </c>
      <c r="G20" s="400">
        <f>'Молодежная политика'!G36</f>
        <v>786.42</v>
      </c>
      <c r="H20" s="400">
        <f>'Молодежная политика'!H36</f>
        <v>1100.26</v>
      </c>
      <c r="I20" s="400">
        <f>'Молодежная политика'!I36</f>
        <v>1251.73</v>
      </c>
      <c r="J20" s="401">
        <f>'Молодежная политика'!J36</f>
        <v>1170.73</v>
      </c>
      <c r="K20" s="401">
        <f>'Молодежная политика'!K36</f>
        <v>1170.73</v>
      </c>
      <c r="L20" s="56"/>
    </row>
    <row r="21" spans="1:12" ht="21.75" customHeight="1" x14ac:dyDescent="0.2">
      <c r="A21" s="341"/>
      <c r="B21" s="341"/>
      <c r="C21" s="337" t="s">
        <v>307</v>
      </c>
      <c r="D21" s="333" t="s">
        <v>11</v>
      </c>
      <c r="E21" s="400">
        <f>'Молодежная политика'!E21+'Молодежная политика'!E45</f>
        <v>1917.58</v>
      </c>
      <c r="F21" s="400">
        <f>'Молодежная политика'!F21+'Молодежная политика'!F45</f>
        <v>313.98</v>
      </c>
      <c r="G21" s="400">
        <f>'Молодежная политика'!G21+'Молодежная политика'!G45</f>
        <v>250.66000000000003</v>
      </c>
      <c r="H21" s="400">
        <f>'Молодежная политика'!H21+'Молодежная политика'!H45</f>
        <v>382.93999999999994</v>
      </c>
      <c r="I21" s="400">
        <f>'Молодежная политика'!I21+'Молодежная политика'!I45</f>
        <v>190</v>
      </c>
      <c r="J21" s="401">
        <f>'Молодежная политика'!J21+'Молодежная политика'!J45</f>
        <v>390</v>
      </c>
      <c r="K21" s="401">
        <f>'Молодежная политика'!K21+'Молодежная политика'!K45</f>
        <v>390</v>
      </c>
      <c r="L21" s="55"/>
    </row>
    <row r="22" spans="1:12" ht="14.25" customHeight="1" thickBot="1" x14ac:dyDescent="0.25">
      <c r="A22" s="345"/>
      <c r="B22" s="345"/>
      <c r="C22" s="346" t="s">
        <v>146</v>
      </c>
      <c r="D22" s="347" t="s">
        <v>11</v>
      </c>
      <c r="E22" s="402">
        <f>'Молодежная политика'!E48</f>
        <v>2152.14</v>
      </c>
      <c r="F22" s="402">
        <f>'Молодежная политика'!F48</f>
        <v>122.37</v>
      </c>
      <c r="G22" s="402">
        <f>'Молодежная политика'!G48</f>
        <v>70.17</v>
      </c>
      <c r="H22" s="402">
        <f>'Молодежная политика'!H48</f>
        <v>180</v>
      </c>
      <c r="I22" s="402">
        <f>'Молодежная политика'!I48</f>
        <v>1419.6</v>
      </c>
      <c r="J22" s="403">
        <f>'Молодежная политика'!J48</f>
        <v>180</v>
      </c>
      <c r="K22" s="403">
        <f>'Молодежная политика'!K48</f>
        <v>180</v>
      </c>
      <c r="L22" s="55"/>
    </row>
    <row r="23" spans="1:12" s="11" customFormat="1" ht="17.25" customHeight="1" x14ac:dyDescent="0.2">
      <c r="A23" s="439">
        <v>3</v>
      </c>
      <c r="B23" s="442" t="s">
        <v>354</v>
      </c>
      <c r="C23" s="445" t="s">
        <v>152</v>
      </c>
      <c r="D23" s="408" t="s">
        <v>11</v>
      </c>
      <c r="E23" s="360">
        <f>SUM(F23:K23)</f>
        <v>70443.360000000001</v>
      </c>
      <c r="F23" s="360">
        <f t="shared" ref="F23:K23" si="2">F24+F25</f>
        <v>11513.6</v>
      </c>
      <c r="G23" s="360">
        <f t="shared" si="2"/>
        <v>11506.480000000001</v>
      </c>
      <c r="H23" s="360">
        <f t="shared" si="2"/>
        <v>11545.45</v>
      </c>
      <c r="I23" s="360">
        <f t="shared" si="2"/>
        <v>11991.249999999998</v>
      </c>
      <c r="J23" s="360">
        <f t="shared" si="2"/>
        <v>11730.78</v>
      </c>
      <c r="K23" s="361">
        <f t="shared" si="2"/>
        <v>12155.800000000001</v>
      </c>
      <c r="L23" s="56"/>
    </row>
    <row r="24" spans="1:12" s="11" customFormat="1" ht="18" customHeight="1" x14ac:dyDescent="0.2">
      <c r="A24" s="440"/>
      <c r="B24" s="443"/>
      <c r="C24" s="446"/>
      <c r="D24" s="362" t="s">
        <v>5</v>
      </c>
      <c r="E24" s="1334">
        <f>SUM(F24:K24)</f>
        <v>70443.360000000001</v>
      </c>
      <c r="F24" s="363">
        <f>МИТО!F33</f>
        <v>11513.6</v>
      </c>
      <c r="G24" s="363">
        <f>МИТО!G33</f>
        <v>11506.480000000001</v>
      </c>
      <c r="H24" s="363">
        <f>МИТО!H33</f>
        <v>11545.45</v>
      </c>
      <c r="I24" s="363">
        <f>МИТО!I33</f>
        <v>11991.249999999998</v>
      </c>
      <c r="J24" s="363">
        <f>МИТО!J33</f>
        <v>11730.78</v>
      </c>
      <c r="K24" s="366">
        <f>МИТО!K33</f>
        <v>12155.800000000001</v>
      </c>
      <c r="L24" s="56"/>
    </row>
    <row r="25" spans="1:12" s="11" customFormat="1" ht="17.25" customHeight="1" thickBot="1" x14ac:dyDescent="0.25">
      <c r="A25" s="441"/>
      <c r="B25" s="444"/>
      <c r="C25" s="447"/>
      <c r="D25" s="368" t="s">
        <v>6</v>
      </c>
      <c r="E25" s="1335">
        <f>SUM(F25:K25)</f>
        <v>0</v>
      </c>
      <c r="F25" s="365">
        <f>МИТО!F34</f>
        <v>0</v>
      </c>
      <c r="G25" s="365">
        <f>МИТО!G34</f>
        <v>0</v>
      </c>
      <c r="H25" s="365">
        <f>МИТО!H34</f>
        <v>0</v>
      </c>
      <c r="I25" s="365">
        <f>МИТО!I34</f>
        <v>0</v>
      </c>
      <c r="J25" s="365">
        <f>МИТО!J34</f>
        <v>0</v>
      </c>
      <c r="K25" s="367">
        <f>МИТО!K34</f>
        <v>0</v>
      </c>
      <c r="L25" s="56"/>
    </row>
    <row r="26" spans="1:12" ht="19.5" customHeight="1" thickBot="1" x14ac:dyDescent="0.25">
      <c r="A26" s="348"/>
      <c r="B26" s="349"/>
      <c r="C26" s="349"/>
      <c r="D26" s="349"/>
      <c r="E26" s="353"/>
      <c r="F26" s="353"/>
      <c r="G26" s="353"/>
      <c r="H26" s="353"/>
      <c r="I26" s="353"/>
      <c r="J26" s="353"/>
      <c r="K26" s="353"/>
    </row>
    <row r="27" spans="1:12" ht="22.5" customHeight="1" x14ac:dyDescent="0.2">
      <c r="A27" s="436"/>
      <c r="B27" s="448">
        <v>7000000000</v>
      </c>
      <c r="C27" s="451" t="s">
        <v>350</v>
      </c>
      <c r="D27" s="1338" t="s">
        <v>351</v>
      </c>
      <c r="E27" s="395">
        <f>E28+E29</f>
        <v>1549169.2040000001</v>
      </c>
      <c r="F27" s="395">
        <f t="shared" ref="F27:K27" si="3">SUM(F28:F29)</f>
        <v>216214.39400000003</v>
      </c>
      <c r="G27" s="395">
        <f t="shared" si="3"/>
        <v>231157.40000000002</v>
      </c>
      <c r="H27" s="395">
        <f t="shared" si="3"/>
        <v>272184.33</v>
      </c>
      <c r="I27" s="395">
        <f t="shared" si="3"/>
        <v>299174.97000000003</v>
      </c>
      <c r="J27" s="395">
        <f t="shared" si="3"/>
        <v>265324.63000000006</v>
      </c>
      <c r="K27" s="1336">
        <f t="shared" si="3"/>
        <v>265113.48000000004</v>
      </c>
    </row>
    <row r="28" spans="1:12" ht="14.25" customHeight="1" x14ac:dyDescent="0.2">
      <c r="A28" s="437"/>
      <c r="B28" s="449"/>
      <c r="C28" s="452"/>
      <c r="D28" s="1339" t="s">
        <v>5</v>
      </c>
      <c r="E28" s="1331">
        <f>SUM(F28:K28)</f>
        <v>458232.54399999994</v>
      </c>
      <c r="F28" s="396">
        <f t="shared" ref="F28:K28" si="4">F8+F17+F24</f>
        <v>75986.263999999996</v>
      </c>
      <c r="G28" s="396">
        <f>G8+G17+G24</f>
        <v>71338.98</v>
      </c>
      <c r="H28" s="396">
        <f>H8+H17+H24</f>
        <v>80944.55</v>
      </c>
      <c r="I28" s="396">
        <f t="shared" si="4"/>
        <v>81775.100000000006</v>
      </c>
      <c r="J28" s="396">
        <f t="shared" si="4"/>
        <v>74908.36</v>
      </c>
      <c r="K28" s="1337">
        <f t="shared" si="4"/>
        <v>73279.289999999994</v>
      </c>
    </row>
    <row r="29" spans="1:12" ht="14.25" customHeight="1" thickBot="1" x14ac:dyDescent="0.25">
      <c r="A29" s="438"/>
      <c r="B29" s="450"/>
      <c r="C29" s="453"/>
      <c r="D29" s="1340" t="s">
        <v>6</v>
      </c>
      <c r="E29" s="1332">
        <f>SUM(F29:K29)</f>
        <v>1090936.6600000001</v>
      </c>
      <c r="F29" s="397">
        <f t="shared" ref="F29:K29" si="5">F18+F9+F25</f>
        <v>140228.13000000003</v>
      </c>
      <c r="G29" s="397">
        <f t="shared" si="5"/>
        <v>159818.42000000004</v>
      </c>
      <c r="H29" s="397">
        <f>H18+H9+H25</f>
        <v>191239.78</v>
      </c>
      <c r="I29" s="397">
        <f t="shared" si="5"/>
        <v>217399.87000000002</v>
      </c>
      <c r="J29" s="397">
        <f t="shared" si="5"/>
        <v>190416.27000000005</v>
      </c>
      <c r="K29" s="397">
        <f t="shared" si="5"/>
        <v>191834.19000000003</v>
      </c>
    </row>
  </sheetData>
  <mergeCells count="25">
    <mergeCell ref="C7:C9"/>
    <mergeCell ref="A7:A9"/>
    <mergeCell ref="B7:B9"/>
    <mergeCell ref="C16:C18"/>
    <mergeCell ref="A27:A29"/>
    <mergeCell ref="B16:B18"/>
    <mergeCell ref="A23:A25"/>
    <mergeCell ref="B23:B25"/>
    <mergeCell ref="C23:C25"/>
    <mergeCell ref="B27:B29"/>
    <mergeCell ref="A16:A18"/>
    <mergeCell ref="C27:C29"/>
    <mergeCell ref="A1:K1"/>
    <mergeCell ref="E4:E5"/>
    <mergeCell ref="F4:F5"/>
    <mergeCell ref="A4:A5"/>
    <mergeCell ref="B4:B5"/>
    <mergeCell ref="A2:K3"/>
    <mergeCell ref="I4:I5"/>
    <mergeCell ref="G4:G5"/>
    <mergeCell ref="H4:H5"/>
    <mergeCell ref="K4:K5"/>
    <mergeCell ref="J4:J5"/>
    <mergeCell ref="C4:C5"/>
    <mergeCell ref="D4:D5"/>
  </mergeCells>
  <printOptions horizontalCentered="1"/>
  <pageMargins left="0.19685039370078741" right="0.19685039370078741" top="0.74803149606299213" bottom="0.19685039370078741" header="0" footer="0"/>
  <pageSetup paperSize="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77"/>
  <sheetViews>
    <sheetView zoomScaleSheetLayoutView="100" workbookViewId="0">
      <pane ySplit="6" topLeftCell="A10" activePane="bottomLeft" state="frozen"/>
      <selection pane="bottomLeft" activeCell="F20" sqref="F20:F21"/>
    </sheetView>
  </sheetViews>
  <sheetFormatPr defaultColWidth="19.5703125" defaultRowHeight="18.75" customHeight="1" x14ac:dyDescent="0.2"/>
  <cols>
    <col min="1" max="1" width="6.5703125" style="1" customWidth="1"/>
    <col min="2" max="2" width="28.42578125" style="1" customWidth="1"/>
    <col min="3" max="3" width="6.42578125" style="51" customWidth="1"/>
    <col min="4" max="4" width="6.85546875" style="42" customWidth="1"/>
    <col min="5" max="5" width="8" style="42" customWidth="1"/>
    <col min="6" max="10" width="8.42578125" style="42" customWidth="1"/>
    <col min="11" max="11" width="23.42578125" style="53" customWidth="1"/>
    <col min="12" max="16" width="5" style="42" customWidth="1"/>
    <col min="17" max="17" width="19" style="3" customWidth="1"/>
    <col min="18" max="16384" width="19.5703125" style="1"/>
  </cols>
  <sheetData>
    <row r="1" spans="1:17" ht="25.5" customHeight="1" x14ac:dyDescent="0.2">
      <c r="A1" s="9"/>
      <c r="B1" s="9"/>
      <c r="C1" s="50"/>
      <c r="D1" s="35"/>
      <c r="E1" s="35"/>
      <c r="F1" s="35"/>
      <c r="H1" s="59"/>
      <c r="I1" s="59"/>
      <c r="J1" s="59"/>
      <c r="K1" s="59"/>
      <c r="L1" s="560" t="s">
        <v>295</v>
      </c>
      <c r="M1" s="560"/>
      <c r="N1" s="560"/>
      <c r="O1" s="560"/>
      <c r="P1" s="560"/>
      <c r="Q1" s="560"/>
    </row>
    <row r="2" spans="1:17" ht="28.5" customHeight="1" x14ac:dyDescent="0.2">
      <c r="A2" s="561" t="s">
        <v>157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</row>
    <row r="3" spans="1:17" ht="10.5" customHeight="1" x14ac:dyDescent="0.2">
      <c r="A3" s="9"/>
      <c r="B3" s="9"/>
      <c r="C3" s="50"/>
      <c r="D3" s="35"/>
      <c r="E3" s="35"/>
      <c r="F3" s="35"/>
      <c r="G3" s="35"/>
      <c r="H3" s="35"/>
      <c r="I3" s="35"/>
      <c r="J3" s="35"/>
      <c r="K3" s="52"/>
      <c r="L3" s="35"/>
      <c r="M3" s="35"/>
      <c r="N3" s="35"/>
      <c r="O3" s="35"/>
      <c r="P3" s="35"/>
      <c r="Q3" s="79" t="s">
        <v>7</v>
      </c>
    </row>
    <row r="4" spans="1:17" s="15" customFormat="1" ht="40.5" customHeight="1" x14ac:dyDescent="0.2">
      <c r="A4" s="562" t="s">
        <v>16</v>
      </c>
      <c r="B4" s="563" t="s">
        <v>15</v>
      </c>
      <c r="C4" s="562" t="s">
        <v>8</v>
      </c>
      <c r="D4" s="562" t="s">
        <v>9</v>
      </c>
      <c r="E4" s="565" t="s">
        <v>0</v>
      </c>
      <c r="F4" s="566"/>
      <c r="G4" s="566"/>
      <c r="H4" s="566"/>
      <c r="I4" s="566"/>
      <c r="J4" s="567"/>
      <c r="K4" s="565" t="s">
        <v>17</v>
      </c>
      <c r="L4" s="566"/>
      <c r="M4" s="566"/>
      <c r="N4" s="566"/>
      <c r="O4" s="566"/>
      <c r="P4" s="567"/>
      <c r="Q4" s="563" t="s">
        <v>14</v>
      </c>
    </row>
    <row r="5" spans="1:17" s="15" customFormat="1" ht="14.25" customHeight="1" x14ac:dyDescent="0.2">
      <c r="A5" s="562"/>
      <c r="B5" s="564"/>
      <c r="C5" s="562"/>
      <c r="D5" s="562"/>
      <c r="E5" s="75" t="s">
        <v>1</v>
      </c>
      <c r="F5" s="75" t="s">
        <v>2</v>
      </c>
      <c r="G5" s="75" t="s">
        <v>3</v>
      </c>
      <c r="H5" s="75" t="s">
        <v>57</v>
      </c>
      <c r="I5" s="75" t="s">
        <v>155</v>
      </c>
      <c r="J5" s="75" t="s">
        <v>156</v>
      </c>
      <c r="K5" s="75" t="s">
        <v>4</v>
      </c>
      <c r="L5" s="75">
        <v>2014</v>
      </c>
      <c r="M5" s="75">
        <v>2015</v>
      </c>
      <c r="N5" s="75">
        <v>2016</v>
      </c>
      <c r="O5" s="75">
        <v>2017</v>
      </c>
      <c r="P5" s="75">
        <v>2018</v>
      </c>
      <c r="Q5" s="564"/>
    </row>
    <row r="6" spans="1:17" s="10" customFormat="1" ht="9.75" customHeight="1" x14ac:dyDescent="0.15">
      <c r="A6" s="148">
        <v>1</v>
      </c>
      <c r="B6" s="148">
        <v>2</v>
      </c>
      <c r="C6" s="148">
        <v>3</v>
      </c>
      <c r="D6" s="148">
        <v>4</v>
      </c>
      <c r="E6" s="148">
        <v>5</v>
      </c>
      <c r="F6" s="148">
        <v>6</v>
      </c>
      <c r="G6" s="148">
        <v>7</v>
      </c>
      <c r="H6" s="148">
        <v>8</v>
      </c>
      <c r="I6" s="148">
        <v>9</v>
      </c>
      <c r="J6" s="148">
        <v>10</v>
      </c>
      <c r="K6" s="148">
        <v>11</v>
      </c>
      <c r="L6" s="148">
        <v>12</v>
      </c>
      <c r="M6" s="148">
        <v>13</v>
      </c>
      <c r="N6" s="148">
        <v>14</v>
      </c>
      <c r="O6" s="148">
        <v>15</v>
      </c>
      <c r="P6" s="148">
        <v>16</v>
      </c>
      <c r="Q6" s="148">
        <v>17</v>
      </c>
    </row>
    <row r="7" spans="1:17" ht="11.25" customHeight="1" x14ac:dyDescent="0.2">
      <c r="A7" s="148"/>
      <c r="B7" s="571" t="s">
        <v>44</v>
      </c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</row>
    <row r="8" spans="1:17" ht="13.5" customHeight="1" x14ac:dyDescent="0.2">
      <c r="A8" s="20">
        <v>1</v>
      </c>
      <c r="B8" s="581" t="s">
        <v>79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</row>
    <row r="9" spans="1:17" ht="23.1" customHeight="1" x14ac:dyDescent="0.2">
      <c r="A9" s="582" t="s">
        <v>19</v>
      </c>
      <c r="B9" s="584" t="s">
        <v>45</v>
      </c>
      <c r="C9" s="586" t="s">
        <v>161</v>
      </c>
      <c r="D9" s="139" t="s">
        <v>249</v>
      </c>
      <c r="E9" s="171">
        <f t="shared" ref="E9:J9" si="0">E10</f>
        <v>11120.5</v>
      </c>
      <c r="F9" s="171">
        <f t="shared" si="0"/>
        <v>8761</v>
      </c>
      <c r="G9" s="171">
        <f t="shared" si="0"/>
        <v>2359.5</v>
      </c>
      <c r="H9" s="171">
        <f t="shared" si="0"/>
        <v>0</v>
      </c>
      <c r="I9" s="171">
        <f t="shared" si="0"/>
        <v>0</v>
      </c>
      <c r="J9" s="171">
        <f t="shared" si="0"/>
        <v>0</v>
      </c>
      <c r="K9" s="587" t="s">
        <v>248</v>
      </c>
      <c r="L9" s="589" t="s">
        <v>236</v>
      </c>
      <c r="M9" s="589" t="s">
        <v>236</v>
      </c>
      <c r="N9" s="589" t="s">
        <v>213</v>
      </c>
      <c r="O9" s="589" t="s">
        <v>213</v>
      </c>
      <c r="P9" s="589" t="s">
        <v>213</v>
      </c>
      <c r="Q9" s="589" t="s">
        <v>63</v>
      </c>
    </row>
    <row r="10" spans="1:17" ht="6.75" customHeight="1" x14ac:dyDescent="0.2">
      <c r="A10" s="583"/>
      <c r="B10" s="585"/>
      <c r="C10" s="585"/>
      <c r="D10" s="591" t="s">
        <v>5</v>
      </c>
      <c r="E10" s="559">
        <f>SUM(F10:J13)</f>
        <v>11120.5</v>
      </c>
      <c r="F10" s="559">
        <f>16163-6362-120-300-620</f>
        <v>8761</v>
      </c>
      <c r="G10" s="559">
        <v>2359.5</v>
      </c>
      <c r="H10" s="559">
        <v>0</v>
      </c>
      <c r="I10" s="559">
        <v>0</v>
      </c>
      <c r="J10" s="559">
        <v>0</v>
      </c>
      <c r="K10" s="588"/>
      <c r="L10" s="588"/>
      <c r="M10" s="588"/>
      <c r="N10" s="588"/>
      <c r="O10" s="588"/>
      <c r="P10" s="588"/>
      <c r="Q10" s="590"/>
    </row>
    <row r="11" spans="1:17" ht="6.75" customHeight="1" x14ac:dyDescent="0.2">
      <c r="A11" s="583"/>
      <c r="B11" s="585"/>
      <c r="C11" s="585"/>
      <c r="D11" s="591"/>
      <c r="E11" s="559"/>
      <c r="F11" s="559"/>
      <c r="G11" s="559"/>
      <c r="H11" s="559"/>
      <c r="I11" s="559"/>
      <c r="J11" s="559"/>
      <c r="K11" s="588"/>
      <c r="L11" s="588"/>
      <c r="M11" s="588"/>
      <c r="N11" s="588"/>
      <c r="O11" s="588"/>
      <c r="P11" s="588"/>
      <c r="Q11" s="590"/>
    </row>
    <row r="12" spans="1:17" ht="10.5" customHeight="1" x14ac:dyDescent="0.2">
      <c r="A12" s="583"/>
      <c r="B12" s="585"/>
      <c r="C12" s="585"/>
      <c r="D12" s="591"/>
      <c r="E12" s="559"/>
      <c r="F12" s="559"/>
      <c r="G12" s="559"/>
      <c r="H12" s="559"/>
      <c r="I12" s="559"/>
      <c r="J12" s="559"/>
      <c r="K12" s="588"/>
      <c r="L12" s="588"/>
      <c r="M12" s="588"/>
      <c r="N12" s="588"/>
      <c r="O12" s="588"/>
      <c r="P12" s="588"/>
      <c r="Q12" s="590"/>
    </row>
    <row r="13" spans="1:17" ht="8.25" customHeight="1" x14ac:dyDescent="0.2">
      <c r="A13" s="646"/>
      <c r="B13" s="666"/>
      <c r="C13" s="666"/>
      <c r="D13" s="591"/>
      <c r="E13" s="559"/>
      <c r="F13" s="559"/>
      <c r="G13" s="559"/>
      <c r="H13" s="559"/>
      <c r="I13" s="559"/>
      <c r="J13" s="559"/>
      <c r="K13" s="588"/>
      <c r="L13" s="588"/>
      <c r="M13" s="588"/>
      <c r="N13" s="588"/>
      <c r="O13" s="588"/>
      <c r="P13" s="588"/>
      <c r="Q13" s="590"/>
    </row>
    <row r="14" spans="1:17" ht="15" customHeight="1" x14ac:dyDescent="0.2">
      <c r="A14" s="762"/>
      <c r="B14" s="847" t="s">
        <v>23</v>
      </c>
      <c r="C14" s="849"/>
      <c r="D14" s="851" t="s">
        <v>249</v>
      </c>
      <c r="E14" s="853">
        <f>SUM(F14:J15)</f>
        <v>11120.5</v>
      </c>
      <c r="F14" s="854">
        <f>SUM(F16:F17)</f>
        <v>8761</v>
      </c>
      <c r="G14" s="854">
        <f>SUM(G16:G17)</f>
        <v>2359.5</v>
      </c>
      <c r="H14" s="854">
        <f>SUM(H16:H17)</f>
        <v>0</v>
      </c>
      <c r="I14" s="854">
        <f>SUM(I16:I17)</f>
        <v>0</v>
      </c>
      <c r="J14" s="854">
        <f>SUM(J16:J17)</f>
        <v>0</v>
      </c>
      <c r="K14" s="849"/>
      <c r="L14" s="849"/>
      <c r="M14" s="849"/>
      <c r="N14" s="849"/>
      <c r="O14" s="849"/>
      <c r="P14" s="849"/>
      <c r="Q14" s="849"/>
    </row>
    <row r="15" spans="1:17" ht="10.5" customHeight="1" x14ac:dyDescent="0.2">
      <c r="A15" s="762"/>
      <c r="B15" s="848"/>
      <c r="C15" s="849"/>
      <c r="D15" s="852"/>
      <c r="E15" s="854"/>
      <c r="F15" s="578"/>
      <c r="G15" s="578"/>
      <c r="H15" s="578"/>
      <c r="I15" s="578"/>
      <c r="J15" s="578"/>
      <c r="K15" s="849"/>
      <c r="L15" s="849"/>
      <c r="M15" s="849"/>
      <c r="N15" s="849"/>
      <c r="O15" s="849"/>
      <c r="P15" s="849"/>
      <c r="Q15" s="849"/>
    </row>
    <row r="16" spans="1:17" ht="13.5" customHeight="1" x14ac:dyDescent="0.2">
      <c r="A16" s="762"/>
      <c r="B16" s="848"/>
      <c r="C16" s="849"/>
      <c r="D16" s="121" t="s">
        <v>5</v>
      </c>
      <c r="E16" s="156">
        <f>SUM(F16:J16)</f>
        <v>11120.5</v>
      </c>
      <c r="F16" s="156">
        <f>SUM(F10,F68)</f>
        <v>8761</v>
      </c>
      <c r="G16" s="156">
        <f>SUM(G10,G68)</f>
        <v>2359.5</v>
      </c>
      <c r="H16" s="156">
        <f>SUM(H10,H68)</f>
        <v>0</v>
      </c>
      <c r="I16" s="156">
        <f>SUM(I10,I68)</f>
        <v>0</v>
      </c>
      <c r="J16" s="156">
        <f>SUM(J10,J68)</f>
        <v>0</v>
      </c>
      <c r="K16" s="849"/>
      <c r="L16" s="849"/>
      <c r="M16" s="849"/>
      <c r="N16" s="849"/>
      <c r="O16" s="849"/>
      <c r="P16" s="849"/>
      <c r="Q16" s="849"/>
    </row>
    <row r="17" spans="1:17" ht="13.5" customHeight="1" x14ac:dyDescent="0.2">
      <c r="A17" s="646"/>
      <c r="B17" s="666"/>
      <c r="C17" s="850"/>
      <c r="D17" s="150" t="s">
        <v>6</v>
      </c>
      <c r="E17" s="147">
        <f>SUM(F17:J17)</f>
        <v>0</v>
      </c>
      <c r="F17" s="147">
        <f>F67</f>
        <v>0</v>
      </c>
      <c r="G17" s="147">
        <v>0</v>
      </c>
      <c r="H17" s="147">
        <f>H67</f>
        <v>0</v>
      </c>
      <c r="I17" s="147">
        <f>I67</f>
        <v>0</v>
      </c>
      <c r="J17" s="147">
        <f>J67</f>
        <v>0</v>
      </c>
      <c r="K17" s="850"/>
      <c r="L17" s="850"/>
      <c r="M17" s="850"/>
      <c r="N17" s="850"/>
      <c r="O17" s="850"/>
      <c r="P17" s="850"/>
      <c r="Q17" s="850"/>
    </row>
    <row r="18" spans="1:17" ht="16.5" customHeight="1" x14ac:dyDescent="0.2">
      <c r="A18" s="16" t="s">
        <v>24</v>
      </c>
      <c r="B18" s="592" t="s">
        <v>80</v>
      </c>
      <c r="C18" s="593"/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3"/>
      <c r="O18" s="593"/>
      <c r="P18" s="593"/>
      <c r="Q18" s="594"/>
    </row>
    <row r="19" spans="1:17" ht="24.6" customHeight="1" x14ac:dyDescent="0.2">
      <c r="A19" s="582" t="s">
        <v>26</v>
      </c>
      <c r="B19" s="584" t="s">
        <v>46</v>
      </c>
      <c r="C19" s="586" t="s">
        <v>161</v>
      </c>
      <c r="D19" s="164" t="s">
        <v>249</v>
      </c>
      <c r="E19" s="8" t="s">
        <v>251</v>
      </c>
      <c r="F19" s="8" t="s">
        <v>252</v>
      </c>
      <c r="G19" s="8" t="s">
        <v>253</v>
      </c>
      <c r="H19" s="8" t="s">
        <v>253</v>
      </c>
      <c r="I19" s="8" t="s">
        <v>253</v>
      </c>
      <c r="J19" s="8" t="s">
        <v>253</v>
      </c>
      <c r="K19" s="584" t="s">
        <v>250</v>
      </c>
      <c r="L19" s="589" t="s">
        <v>240</v>
      </c>
      <c r="M19" s="589" t="s">
        <v>240</v>
      </c>
      <c r="N19" s="589" t="s">
        <v>240</v>
      </c>
      <c r="O19" s="589" t="s">
        <v>240</v>
      </c>
      <c r="P19" s="589" t="s">
        <v>240</v>
      </c>
      <c r="Q19" s="582" t="s">
        <v>136</v>
      </c>
    </row>
    <row r="20" spans="1:17" ht="16.5" customHeight="1" x14ac:dyDescent="0.2">
      <c r="A20" s="615"/>
      <c r="B20" s="607"/>
      <c r="C20" s="601"/>
      <c r="D20" s="603" t="s">
        <v>5</v>
      </c>
      <c r="E20" s="605">
        <f>SUM(F20:J21)</f>
        <v>1040</v>
      </c>
      <c r="F20" s="605">
        <v>240</v>
      </c>
      <c r="G20" s="605">
        <v>200</v>
      </c>
      <c r="H20" s="605">
        <v>200</v>
      </c>
      <c r="I20" s="605">
        <v>200</v>
      </c>
      <c r="J20" s="605">
        <v>200</v>
      </c>
      <c r="K20" s="607"/>
      <c r="L20" s="599"/>
      <c r="M20" s="599"/>
      <c r="N20" s="599"/>
      <c r="O20" s="599"/>
      <c r="P20" s="599"/>
      <c r="Q20" s="601"/>
    </row>
    <row r="21" spans="1:17" ht="6" customHeight="1" x14ac:dyDescent="0.2">
      <c r="A21" s="615"/>
      <c r="B21" s="607"/>
      <c r="C21" s="601"/>
      <c r="D21" s="604"/>
      <c r="E21" s="606"/>
      <c r="F21" s="606"/>
      <c r="G21" s="606"/>
      <c r="H21" s="606"/>
      <c r="I21" s="606"/>
      <c r="J21" s="606"/>
      <c r="K21" s="607"/>
      <c r="L21" s="599"/>
      <c r="M21" s="599"/>
      <c r="N21" s="599"/>
      <c r="O21" s="599"/>
      <c r="P21" s="599"/>
      <c r="Q21" s="601"/>
    </row>
    <row r="22" spans="1:17" ht="16.5" customHeight="1" x14ac:dyDescent="0.2">
      <c r="A22" s="615"/>
      <c r="B22" s="607"/>
      <c r="C22" s="601"/>
      <c r="D22" s="591" t="s">
        <v>6</v>
      </c>
      <c r="E22" s="605">
        <f>SUM(F22:J23)</f>
        <v>0</v>
      </c>
      <c r="F22" s="610">
        <v>0</v>
      </c>
      <c r="G22" s="610">
        <v>0</v>
      </c>
      <c r="H22" s="610">
        <v>0</v>
      </c>
      <c r="I22" s="610">
        <v>0</v>
      </c>
      <c r="J22" s="610">
        <v>0</v>
      </c>
      <c r="K22" s="607"/>
      <c r="L22" s="599"/>
      <c r="M22" s="599"/>
      <c r="N22" s="599"/>
      <c r="O22" s="599"/>
      <c r="P22" s="599"/>
      <c r="Q22" s="601"/>
    </row>
    <row r="23" spans="1:17" ht="8.4499999999999993" customHeight="1" thickBot="1" x14ac:dyDescent="0.25">
      <c r="A23" s="616"/>
      <c r="B23" s="608"/>
      <c r="C23" s="602"/>
      <c r="D23" s="591"/>
      <c r="E23" s="606"/>
      <c r="F23" s="610"/>
      <c r="G23" s="610"/>
      <c r="H23" s="610"/>
      <c r="I23" s="610"/>
      <c r="J23" s="610"/>
      <c r="K23" s="608"/>
      <c r="L23" s="600"/>
      <c r="M23" s="600"/>
      <c r="N23" s="600"/>
      <c r="O23" s="600"/>
      <c r="P23" s="600"/>
      <c r="Q23" s="602"/>
    </row>
    <row r="24" spans="1:17" ht="12.75" customHeight="1" x14ac:dyDescent="0.2">
      <c r="A24" s="612"/>
      <c r="B24" s="581" t="s">
        <v>43</v>
      </c>
      <c r="C24" s="613"/>
      <c r="D24" s="855" t="s">
        <v>249</v>
      </c>
      <c r="E24" s="857">
        <f>SUM(F24:J25)</f>
        <v>1040</v>
      </c>
      <c r="F24" s="857">
        <f>SUM(F20)</f>
        <v>240</v>
      </c>
      <c r="G24" s="857">
        <f>SUM(G20)</f>
        <v>200</v>
      </c>
      <c r="H24" s="858">
        <f>SUM(H20)</f>
        <v>200</v>
      </c>
      <c r="I24" s="858">
        <f>SUM(I20)</f>
        <v>200</v>
      </c>
      <c r="J24" s="858">
        <f>SUM(J20)</f>
        <v>200</v>
      </c>
      <c r="K24" s="597"/>
      <c r="L24" s="591"/>
      <c r="M24" s="591"/>
      <c r="N24" s="591"/>
      <c r="O24" s="591"/>
      <c r="P24" s="591"/>
      <c r="Q24" s="612"/>
    </row>
    <row r="25" spans="1:17" ht="9.75" customHeight="1" x14ac:dyDescent="0.2">
      <c r="A25" s="612"/>
      <c r="B25" s="581"/>
      <c r="C25" s="613"/>
      <c r="D25" s="856"/>
      <c r="E25" s="854"/>
      <c r="F25" s="854"/>
      <c r="G25" s="854"/>
      <c r="H25" s="859"/>
      <c r="I25" s="859"/>
      <c r="J25" s="859"/>
      <c r="K25" s="597"/>
      <c r="L25" s="591"/>
      <c r="M25" s="591"/>
      <c r="N25" s="591"/>
      <c r="O25" s="591"/>
      <c r="P25" s="591"/>
      <c r="Q25" s="612"/>
    </row>
    <row r="26" spans="1:17" ht="12" customHeight="1" x14ac:dyDescent="0.2">
      <c r="A26" s="612"/>
      <c r="B26" s="581"/>
      <c r="C26" s="613"/>
      <c r="D26" s="38" t="s">
        <v>5</v>
      </c>
      <c r="E26" s="147">
        <f>SUM(F26:J26)</f>
        <v>1040</v>
      </c>
      <c r="F26" s="147">
        <f>SUM(F20)</f>
        <v>240</v>
      </c>
      <c r="G26" s="147">
        <f>SUM(G20)</f>
        <v>200</v>
      </c>
      <c r="H26" s="43">
        <f>SUM(H20)</f>
        <v>200</v>
      </c>
      <c r="I26" s="43">
        <f>SUM(I20)</f>
        <v>200</v>
      </c>
      <c r="J26" s="43">
        <f>SUM(J20)</f>
        <v>200</v>
      </c>
      <c r="K26" s="597"/>
      <c r="L26" s="591"/>
      <c r="M26" s="591"/>
      <c r="N26" s="591"/>
      <c r="O26" s="591"/>
      <c r="P26" s="591"/>
      <c r="Q26" s="612"/>
    </row>
    <row r="27" spans="1:17" ht="11.25" customHeight="1" thickBot="1" x14ac:dyDescent="0.25">
      <c r="A27" s="612"/>
      <c r="B27" s="581"/>
      <c r="C27" s="613"/>
      <c r="D27" s="39" t="s">
        <v>6</v>
      </c>
      <c r="E27" s="44">
        <f>SUM(F27:J27)</f>
        <v>0</v>
      </c>
      <c r="F27" s="44">
        <v>0</v>
      </c>
      <c r="G27" s="44">
        <v>0</v>
      </c>
      <c r="H27" s="45">
        <v>0</v>
      </c>
      <c r="I27" s="45">
        <v>0</v>
      </c>
      <c r="J27" s="45">
        <v>0</v>
      </c>
      <c r="K27" s="597"/>
      <c r="L27" s="591"/>
      <c r="M27" s="591"/>
      <c r="N27" s="591"/>
      <c r="O27" s="591"/>
      <c r="P27" s="591"/>
      <c r="Q27" s="612"/>
    </row>
    <row r="28" spans="1:17" ht="11.25" customHeight="1" x14ac:dyDescent="0.2">
      <c r="A28" s="8" t="s">
        <v>28</v>
      </c>
      <c r="B28" s="592" t="s">
        <v>81</v>
      </c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4"/>
    </row>
    <row r="29" spans="1:17" ht="24.6" customHeight="1" x14ac:dyDescent="0.2">
      <c r="A29" s="582" t="s">
        <v>30</v>
      </c>
      <c r="B29" s="617" t="s">
        <v>47</v>
      </c>
      <c r="C29" s="612" t="s">
        <v>161</v>
      </c>
      <c r="D29" s="164" t="s">
        <v>249</v>
      </c>
      <c r="E29" s="8" t="s">
        <v>254</v>
      </c>
      <c r="F29" s="8" t="s">
        <v>243</v>
      </c>
      <c r="G29" s="8" t="s">
        <v>255</v>
      </c>
      <c r="H29" s="8" t="s">
        <v>255</v>
      </c>
      <c r="I29" s="8" t="s">
        <v>255</v>
      </c>
      <c r="J29" s="8" t="s">
        <v>255</v>
      </c>
      <c r="K29" s="584" t="s">
        <v>256</v>
      </c>
      <c r="L29" s="589" t="s">
        <v>236</v>
      </c>
      <c r="M29" s="589" t="s">
        <v>236</v>
      </c>
      <c r="N29" s="589" t="s">
        <v>236</v>
      </c>
      <c r="O29" s="589" t="s">
        <v>236</v>
      </c>
      <c r="P29" s="589" t="s">
        <v>236</v>
      </c>
      <c r="Q29" s="582" t="s">
        <v>136</v>
      </c>
    </row>
    <row r="30" spans="1:17" ht="16.5" customHeight="1" x14ac:dyDescent="0.2">
      <c r="A30" s="615"/>
      <c r="B30" s="618"/>
      <c r="C30" s="619"/>
      <c r="D30" s="603" t="s">
        <v>5</v>
      </c>
      <c r="E30" s="605">
        <f>SUM(F30:J33)</f>
        <v>210</v>
      </c>
      <c r="F30" s="605">
        <v>70</v>
      </c>
      <c r="G30" s="605">
        <v>35</v>
      </c>
      <c r="H30" s="605">
        <v>35</v>
      </c>
      <c r="I30" s="605">
        <v>35</v>
      </c>
      <c r="J30" s="605">
        <v>35</v>
      </c>
      <c r="K30" s="601"/>
      <c r="L30" s="620"/>
      <c r="M30" s="620"/>
      <c r="N30" s="620"/>
      <c r="O30" s="620"/>
      <c r="P30" s="620"/>
      <c r="Q30" s="615"/>
    </row>
    <row r="31" spans="1:17" ht="2.1" customHeight="1" x14ac:dyDescent="0.2">
      <c r="A31" s="615"/>
      <c r="B31" s="618"/>
      <c r="C31" s="619"/>
      <c r="D31" s="625"/>
      <c r="E31" s="609"/>
      <c r="F31" s="609"/>
      <c r="G31" s="609"/>
      <c r="H31" s="609"/>
      <c r="I31" s="609"/>
      <c r="J31" s="609"/>
      <c r="K31" s="602"/>
      <c r="L31" s="621"/>
      <c r="M31" s="621"/>
      <c r="N31" s="621"/>
      <c r="O31" s="621"/>
      <c r="P31" s="621"/>
      <c r="Q31" s="615"/>
    </row>
    <row r="32" spans="1:17" ht="16.5" customHeight="1" x14ac:dyDescent="0.2">
      <c r="A32" s="615"/>
      <c r="B32" s="618"/>
      <c r="C32" s="619"/>
      <c r="D32" s="625"/>
      <c r="E32" s="609"/>
      <c r="F32" s="609"/>
      <c r="G32" s="609"/>
      <c r="H32" s="609"/>
      <c r="I32" s="609"/>
      <c r="J32" s="609"/>
      <c r="K32" s="622" t="s">
        <v>257</v>
      </c>
      <c r="L32" s="623" t="s">
        <v>236</v>
      </c>
      <c r="M32" s="623" t="s">
        <v>236</v>
      </c>
      <c r="N32" s="623" t="s">
        <v>236</v>
      </c>
      <c r="O32" s="623" t="s">
        <v>236</v>
      </c>
      <c r="P32" s="623" t="s">
        <v>236</v>
      </c>
      <c r="Q32" s="615"/>
    </row>
    <row r="33" spans="1:17" ht="16.5" customHeight="1" thickBot="1" x14ac:dyDescent="0.25">
      <c r="A33" s="616"/>
      <c r="B33" s="618"/>
      <c r="C33" s="619"/>
      <c r="D33" s="861"/>
      <c r="E33" s="860"/>
      <c r="F33" s="860"/>
      <c r="G33" s="860"/>
      <c r="H33" s="860"/>
      <c r="I33" s="860"/>
      <c r="J33" s="860"/>
      <c r="K33" s="622"/>
      <c r="L33" s="624"/>
      <c r="M33" s="624"/>
      <c r="N33" s="624"/>
      <c r="O33" s="624"/>
      <c r="P33" s="624"/>
      <c r="Q33" s="616"/>
    </row>
    <row r="34" spans="1:17" ht="10.5" customHeight="1" x14ac:dyDescent="0.2">
      <c r="A34" s="612"/>
      <c r="B34" s="581" t="s">
        <v>33</v>
      </c>
      <c r="C34" s="613"/>
      <c r="D34" s="855" t="s">
        <v>249</v>
      </c>
      <c r="E34" s="857">
        <f>SUM(F34:J35)</f>
        <v>210</v>
      </c>
      <c r="F34" s="857">
        <f>SUM(F36:F37)</f>
        <v>70</v>
      </c>
      <c r="G34" s="857">
        <f>SUM(G36:G37)</f>
        <v>35</v>
      </c>
      <c r="H34" s="858">
        <f>SUM(H36:H37)</f>
        <v>35</v>
      </c>
      <c r="I34" s="858">
        <f>SUM(I36:I37)</f>
        <v>35</v>
      </c>
      <c r="J34" s="858">
        <f>SUM(J36:J37)</f>
        <v>35</v>
      </c>
      <c r="K34" s="597"/>
      <c r="L34" s="591"/>
      <c r="M34" s="591"/>
      <c r="N34" s="591"/>
      <c r="O34" s="591"/>
      <c r="P34" s="591"/>
      <c r="Q34" s="612"/>
    </row>
    <row r="35" spans="1:17" ht="10.5" customHeight="1" x14ac:dyDescent="0.2">
      <c r="A35" s="612"/>
      <c r="B35" s="581"/>
      <c r="C35" s="613"/>
      <c r="D35" s="856"/>
      <c r="E35" s="854"/>
      <c r="F35" s="854"/>
      <c r="G35" s="854"/>
      <c r="H35" s="859"/>
      <c r="I35" s="859"/>
      <c r="J35" s="859"/>
      <c r="K35" s="597"/>
      <c r="L35" s="591"/>
      <c r="M35" s="591"/>
      <c r="N35" s="591"/>
      <c r="O35" s="591"/>
      <c r="P35" s="591"/>
      <c r="Q35" s="612"/>
    </row>
    <row r="36" spans="1:17" ht="10.5" customHeight="1" x14ac:dyDescent="0.2">
      <c r="A36" s="612"/>
      <c r="B36" s="581"/>
      <c r="C36" s="613"/>
      <c r="D36" s="38" t="s">
        <v>5</v>
      </c>
      <c r="E36" s="147">
        <f>SUM(F36:J36)</f>
        <v>210</v>
      </c>
      <c r="F36" s="147">
        <f>SUM(F30)</f>
        <v>70</v>
      </c>
      <c r="G36" s="147">
        <f>SUM(G30)</f>
        <v>35</v>
      </c>
      <c r="H36" s="43">
        <f>SUM(H30)</f>
        <v>35</v>
      </c>
      <c r="I36" s="43">
        <f>SUM(I30)</f>
        <v>35</v>
      </c>
      <c r="J36" s="43">
        <f>SUM(J30)</f>
        <v>35</v>
      </c>
      <c r="K36" s="597"/>
      <c r="L36" s="591"/>
      <c r="M36" s="591"/>
      <c r="N36" s="591"/>
      <c r="O36" s="591"/>
      <c r="P36" s="591"/>
      <c r="Q36" s="612"/>
    </row>
    <row r="37" spans="1:17" ht="10.5" customHeight="1" thickBot="1" x14ac:dyDescent="0.25">
      <c r="A37" s="612"/>
      <c r="B37" s="581"/>
      <c r="C37" s="613"/>
      <c r="D37" s="39" t="s">
        <v>6</v>
      </c>
      <c r="E37" s="147">
        <f>SUM(F37:J37)</f>
        <v>0</v>
      </c>
      <c r="F37" s="44">
        <f>SUM(F32)</f>
        <v>0</v>
      </c>
      <c r="G37" s="44">
        <f>SUM(G32)</f>
        <v>0</v>
      </c>
      <c r="H37" s="45">
        <f>SUM(H32)</f>
        <v>0</v>
      </c>
      <c r="I37" s="45">
        <f>SUM(I32)</f>
        <v>0</v>
      </c>
      <c r="J37" s="45">
        <f>SUM(J32)</f>
        <v>0</v>
      </c>
      <c r="K37" s="597"/>
      <c r="L37" s="591"/>
      <c r="M37" s="591"/>
      <c r="N37" s="591"/>
      <c r="O37" s="591"/>
      <c r="P37" s="591"/>
      <c r="Q37" s="612"/>
    </row>
    <row r="38" spans="1:17" ht="15.75" customHeight="1" thickBot="1" x14ac:dyDescent="0.25">
      <c r="A38" s="8" t="s">
        <v>34</v>
      </c>
      <c r="B38" s="626" t="s">
        <v>147</v>
      </c>
      <c r="C38" s="627"/>
      <c r="D38" s="627"/>
      <c r="E38" s="627"/>
      <c r="F38" s="627"/>
      <c r="G38" s="627"/>
      <c r="H38" s="627"/>
      <c r="I38" s="627"/>
      <c r="J38" s="627"/>
      <c r="K38" s="627"/>
      <c r="L38" s="627"/>
      <c r="M38" s="627"/>
      <c r="N38" s="627"/>
      <c r="O38" s="627"/>
      <c r="P38" s="627"/>
      <c r="Q38" s="628"/>
    </row>
    <row r="39" spans="1:17" ht="23.45" customHeight="1" x14ac:dyDescent="0.2">
      <c r="A39" s="582" t="s">
        <v>36</v>
      </c>
      <c r="B39" s="617" t="s">
        <v>83</v>
      </c>
      <c r="C39" s="612" t="s">
        <v>161</v>
      </c>
      <c r="D39" s="120" t="s">
        <v>207</v>
      </c>
      <c r="E39" s="8" t="s">
        <v>208</v>
      </c>
      <c r="F39" s="8" t="s">
        <v>209</v>
      </c>
      <c r="G39" s="8" t="s">
        <v>210</v>
      </c>
      <c r="H39" s="8" t="s">
        <v>211</v>
      </c>
      <c r="I39" s="8" t="s">
        <v>211</v>
      </c>
      <c r="J39" s="8" t="s">
        <v>211</v>
      </c>
      <c r="K39" s="587" t="s">
        <v>258</v>
      </c>
      <c r="L39" s="163"/>
      <c r="M39" s="163"/>
      <c r="N39" s="163"/>
      <c r="O39" s="163"/>
      <c r="P39" s="163"/>
      <c r="Q39" s="114"/>
    </row>
    <row r="40" spans="1:17" ht="11.25" customHeight="1" x14ac:dyDescent="0.2">
      <c r="A40" s="615"/>
      <c r="B40" s="618"/>
      <c r="C40" s="619"/>
      <c r="D40" s="631" t="s">
        <v>212</v>
      </c>
      <c r="E40" s="605">
        <f>SUM(F40:J41)</f>
        <v>546.5</v>
      </c>
      <c r="F40" s="605">
        <f>SUM(F48,F45,F51)</f>
        <v>356.5</v>
      </c>
      <c r="G40" s="605">
        <f>SUM(G48,G45,G51)</f>
        <v>100</v>
      </c>
      <c r="H40" s="605">
        <f>SUM(H48,H45,H51)</f>
        <v>30</v>
      </c>
      <c r="I40" s="605">
        <f>SUM(I48,I45,I51)</f>
        <v>30</v>
      </c>
      <c r="J40" s="605">
        <f>SUM(J48,J45,J51)</f>
        <v>30</v>
      </c>
      <c r="K40" s="629"/>
      <c r="L40" s="633">
        <v>100</v>
      </c>
      <c r="M40" s="633">
        <v>100</v>
      </c>
      <c r="N40" s="633">
        <v>100</v>
      </c>
      <c r="O40" s="633">
        <v>100</v>
      </c>
      <c r="P40" s="633">
        <v>100</v>
      </c>
      <c r="Q40" s="635" t="s">
        <v>132</v>
      </c>
    </row>
    <row r="41" spans="1:17" ht="6" customHeight="1" x14ac:dyDescent="0.2">
      <c r="A41" s="615"/>
      <c r="B41" s="618"/>
      <c r="C41" s="619"/>
      <c r="D41" s="632"/>
      <c r="E41" s="606"/>
      <c r="F41" s="606"/>
      <c r="G41" s="606"/>
      <c r="H41" s="606"/>
      <c r="I41" s="606"/>
      <c r="J41" s="606"/>
      <c r="K41" s="629"/>
      <c r="L41" s="634"/>
      <c r="M41" s="634"/>
      <c r="N41" s="634"/>
      <c r="O41" s="634"/>
      <c r="P41" s="634"/>
      <c r="Q41" s="636"/>
    </row>
    <row r="42" spans="1:17" ht="11.25" customHeight="1" x14ac:dyDescent="0.2">
      <c r="A42" s="615"/>
      <c r="B42" s="618"/>
      <c r="C42" s="619"/>
      <c r="D42" s="632"/>
      <c r="E42" s="605">
        <f>SUM(F42:J43)</f>
        <v>755.4</v>
      </c>
      <c r="F42" s="610">
        <f>SUM(F49,F46,F52)</f>
        <v>465.4</v>
      </c>
      <c r="G42" s="611">
        <f>SUM(G49,G46,G52)</f>
        <v>200</v>
      </c>
      <c r="H42" s="611">
        <f>SUM(H49,H46,H52)</f>
        <v>30</v>
      </c>
      <c r="I42" s="611">
        <f>SUM(I49,I46,I52)</f>
        <v>30</v>
      </c>
      <c r="J42" s="611">
        <f>SUM(J49,J46,J52)</f>
        <v>30</v>
      </c>
      <c r="K42" s="629"/>
      <c r="L42" s="633">
        <v>100</v>
      </c>
      <c r="M42" s="633">
        <v>100</v>
      </c>
      <c r="N42" s="633">
        <v>100</v>
      </c>
      <c r="O42" s="633">
        <v>100</v>
      </c>
      <c r="P42" s="633">
        <v>100</v>
      </c>
      <c r="Q42" s="638" t="s">
        <v>131</v>
      </c>
    </row>
    <row r="43" spans="1:17" ht="6" customHeight="1" thickBot="1" x14ac:dyDescent="0.25">
      <c r="A43" s="616"/>
      <c r="B43" s="618"/>
      <c r="C43" s="619"/>
      <c r="D43" s="862"/>
      <c r="E43" s="609"/>
      <c r="F43" s="611"/>
      <c r="G43" s="637"/>
      <c r="H43" s="637"/>
      <c r="I43" s="637"/>
      <c r="J43" s="637"/>
      <c r="K43" s="630"/>
      <c r="L43" s="634"/>
      <c r="M43" s="634"/>
      <c r="N43" s="634"/>
      <c r="O43" s="634"/>
      <c r="P43" s="634"/>
      <c r="Q43" s="638"/>
    </row>
    <row r="44" spans="1:17" ht="20.45" customHeight="1" x14ac:dyDescent="0.2">
      <c r="A44" s="582" t="s">
        <v>82</v>
      </c>
      <c r="B44" s="584" t="s">
        <v>84</v>
      </c>
      <c r="C44" s="642" t="s">
        <v>161</v>
      </c>
      <c r="D44" s="120" t="s">
        <v>207</v>
      </c>
      <c r="E44" s="169">
        <f>SUM(F44:J44)</f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639" t="s">
        <v>258</v>
      </c>
      <c r="L44" s="177"/>
      <c r="M44" s="177"/>
      <c r="N44" s="177"/>
      <c r="O44" s="177"/>
      <c r="P44" s="177"/>
      <c r="Q44" s="168"/>
    </row>
    <row r="45" spans="1:17" ht="22.5" customHeight="1" x14ac:dyDescent="0.2">
      <c r="A45" s="615"/>
      <c r="B45" s="607"/>
      <c r="C45" s="588"/>
      <c r="D45" s="150" t="s">
        <v>5</v>
      </c>
      <c r="E45" s="153">
        <f t="shared" ref="E45:E52" si="1">SUM(F45:J45)</f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640"/>
      <c r="L45" s="177">
        <v>0</v>
      </c>
      <c r="M45" s="177">
        <v>0</v>
      </c>
      <c r="N45" s="177">
        <v>0</v>
      </c>
      <c r="O45" s="177">
        <v>0</v>
      </c>
      <c r="P45" s="177">
        <v>0</v>
      </c>
      <c r="Q45" s="115" t="s">
        <v>129</v>
      </c>
    </row>
    <row r="46" spans="1:17" ht="22.5" customHeight="1" thickBot="1" x14ac:dyDescent="0.25">
      <c r="A46" s="616"/>
      <c r="B46" s="608"/>
      <c r="C46" s="643"/>
      <c r="D46" s="150" t="s">
        <v>5</v>
      </c>
      <c r="E46" s="153">
        <f t="shared" si="1"/>
        <v>0</v>
      </c>
      <c r="F46" s="141">
        <v>0</v>
      </c>
      <c r="G46" s="141">
        <v>0</v>
      </c>
      <c r="H46" s="141">
        <v>0</v>
      </c>
      <c r="I46" s="141">
        <v>0</v>
      </c>
      <c r="J46" s="141">
        <v>0</v>
      </c>
      <c r="K46" s="641"/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15" t="s">
        <v>130</v>
      </c>
    </row>
    <row r="47" spans="1:17" ht="22.5" customHeight="1" x14ac:dyDescent="0.2">
      <c r="A47" s="582" t="s">
        <v>85</v>
      </c>
      <c r="B47" s="584" t="s">
        <v>86</v>
      </c>
      <c r="C47" s="642" t="s">
        <v>161</v>
      </c>
      <c r="D47" s="120" t="s">
        <v>207</v>
      </c>
      <c r="E47" s="169">
        <f t="shared" ref="E47:J47" si="2">SUM(E48:E49)</f>
        <v>242.9</v>
      </c>
      <c r="F47" s="169">
        <f t="shared" si="2"/>
        <v>62.9</v>
      </c>
      <c r="G47" s="169">
        <f t="shared" si="2"/>
        <v>0</v>
      </c>
      <c r="H47" s="169">
        <f t="shared" si="2"/>
        <v>60</v>
      </c>
      <c r="I47" s="169">
        <f t="shared" si="2"/>
        <v>60</v>
      </c>
      <c r="J47" s="169">
        <f t="shared" si="2"/>
        <v>60</v>
      </c>
      <c r="K47" s="639" t="s">
        <v>258</v>
      </c>
      <c r="L47" s="177"/>
      <c r="M47" s="177"/>
      <c r="N47" s="177"/>
      <c r="O47" s="177"/>
      <c r="P47" s="177"/>
      <c r="Q47" s="115"/>
    </row>
    <row r="48" spans="1:17" ht="22.5" customHeight="1" x14ac:dyDescent="0.2">
      <c r="A48" s="615"/>
      <c r="B48" s="607"/>
      <c r="C48" s="588"/>
      <c r="D48" s="150" t="s">
        <v>5</v>
      </c>
      <c r="E48" s="153">
        <f t="shared" si="1"/>
        <v>121.5</v>
      </c>
      <c r="F48" s="141">
        <v>31.5</v>
      </c>
      <c r="G48" s="147">
        <f>30-30</f>
        <v>0</v>
      </c>
      <c r="H48" s="147">
        <v>30</v>
      </c>
      <c r="I48" s="147">
        <v>30</v>
      </c>
      <c r="J48" s="147">
        <v>30</v>
      </c>
      <c r="K48" s="640"/>
      <c r="L48" s="177">
        <v>100</v>
      </c>
      <c r="M48" s="177">
        <v>0</v>
      </c>
      <c r="N48" s="177">
        <v>100</v>
      </c>
      <c r="O48" s="177">
        <v>100</v>
      </c>
      <c r="P48" s="177">
        <v>100</v>
      </c>
      <c r="Q48" s="115" t="s">
        <v>129</v>
      </c>
    </row>
    <row r="49" spans="1:17" ht="22.5" customHeight="1" thickBot="1" x14ac:dyDescent="0.25">
      <c r="A49" s="616"/>
      <c r="B49" s="608"/>
      <c r="C49" s="643"/>
      <c r="D49" s="150" t="s">
        <v>5</v>
      </c>
      <c r="E49" s="153">
        <f t="shared" si="1"/>
        <v>121.4</v>
      </c>
      <c r="F49" s="147">
        <v>31.4</v>
      </c>
      <c r="G49" s="147">
        <f>30-30</f>
        <v>0</v>
      </c>
      <c r="H49" s="147">
        <v>30</v>
      </c>
      <c r="I49" s="147">
        <v>30</v>
      </c>
      <c r="J49" s="147">
        <v>30</v>
      </c>
      <c r="K49" s="641"/>
      <c r="L49" s="177">
        <v>100</v>
      </c>
      <c r="M49" s="177">
        <v>0</v>
      </c>
      <c r="N49" s="177">
        <v>100</v>
      </c>
      <c r="O49" s="177">
        <v>100</v>
      </c>
      <c r="P49" s="177">
        <v>100</v>
      </c>
      <c r="Q49" s="115" t="s">
        <v>130</v>
      </c>
    </row>
    <row r="50" spans="1:17" ht="22.5" customHeight="1" x14ac:dyDescent="0.2">
      <c r="A50" s="582" t="s">
        <v>138</v>
      </c>
      <c r="B50" s="584" t="s">
        <v>139</v>
      </c>
      <c r="C50" s="642" t="s">
        <v>161</v>
      </c>
      <c r="D50" s="120" t="s">
        <v>207</v>
      </c>
      <c r="E50" s="142">
        <v>1059</v>
      </c>
      <c r="F50" s="171">
        <v>759</v>
      </c>
      <c r="G50" s="171">
        <v>300</v>
      </c>
      <c r="H50" s="34">
        <v>0</v>
      </c>
      <c r="I50" s="34">
        <v>0</v>
      </c>
      <c r="J50" s="34">
        <v>0</v>
      </c>
      <c r="K50" s="639" t="s">
        <v>258</v>
      </c>
      <c r="L50" s="177"/>
      <c r="M50" s="177"/>
      <c r="N50" s="177"/>
      <c r="O50" s="177"/>
      <c r="P50" s="177"/>
      <c r="Q50" s="115"/>
    </row>
    <row r="51" spans="1:17" ht="21.75" customHeight="1" x14ac:dyDescent="0.2">
      <c r="A51" s="615"/>
      <c r="B51" s="607"/>
      <c r="C51" s="588"/>
      <c r="D51" s="145" t="s">
        <v>5</v>
      </c>
      <c r="E51" s="151">
        <f t="shared" si="1"/>
        <v>425</v>
      </c>
      <c r="F51" s="156">
        <v>325</v>
      </c>
      <c r="G51" s="156">
        <v>100</v>
      </c>
      <c r="H51" s="156">
        <v>0</v>
      </c>
      <c r="I51" s="156">
        <v>0</v>
      </c>
      <c r="J51" s="156">
        <v>0</v>
      </c>
      <c r="K51" s="640"/>
      <c r="L51" s="177">
        <v>100</v>
      </c>
      <c r="M51" s="177">
        <v>100</v>
      </c>
      <c r="N51" s="177">
        <v>0</v>
      </c>
      <c r="O51" s="177">
        <v>0</v>
      </c>
      <c r="P51" s="177">
        <v>0</v>
      </c>
      <c r="Q51" s="115" t="s">
        <v>129</v>
      </c>
    </row>
    <row r="52" spans="1:17" ht="21.75" customHeight="1" x14ac:dyDescent="0.2">
      <c r="A52" s="616"/>
      <c r="B52" s="608"/>
      <c r="C52" s="643"/>
      <c r="D52" s="145" t="s">
        <v>5</v>
      </c>
      <c r="E52" s="151">
        <f t="shared" si="1"/>
        <v>634</v>
      </c>
      <c r="F52" s="156">
        <v>434</v>
      </c>
      <c r="G52" s="156">
        <v>200</v>
      </c>
      <c r="H52" s="156">
        <v>0</v>
      </c>
      <c r="I52" s="156">
        <v>0</v>
      </c>
      <c r="J52" s="156">
        <v>0</v>
      </c>
      <c r="K52" s="641"/>
      <c r="L52" s="177">
        <v>100</v>
      </c>
      <c r="M52" s="177">
        <v>100</v>
      </c>
      <c r="N52" s="177">
        <v>0</v>
      </c>
      <c r="O52" s="177">
        <v>0</v>
      </c>
      <c r="P52" s="177">
        <v>0</v>
      </c>
      <c r="Q52" s="115" t="s">
        <v>130</v>
      </c>
    </row>
    <row r="53" spans="1:17" ht="6.75" customHeight="1" x14ac:dyDescent="0.2">
      <c r="A53" s="582" t="s">
        <v>64</v>
      </c>
      <c r="B53" s="584" t="s">
        <v>89</v>
      </c>
      <c r="C53" s="642" t="s">
        <v>161</v>
      </c>
      <c r="D53" s="647" t="s">
        <v>259</v>
      </c>
      <c r="E53" s="649">
        <f>SUM(F53:J56)</f>
        <v>1520.9</v>
      </c>
      <c r="F53" s="649">
        <f>SUM(F59,F61,F64)</f>
        <v>260.8</v>
      </c>
      <c r="G53" s="649">
        <f>SUM(G56:G57)</f>
        <v>419.3</v>
      </c>
      <c r="H53" s="649">
        <f>SUM(H56:H57)</f>
        <v>80</v>
      </c>
      <c r="I53" s="649">
        <f>SUM(I56:I57)</f>
        <v>80</v>
      </c>
      <c r="J53" s="649">
        <f>SUM(J56:J57)</f>
        <v>80</v>
      </c>
      <c r="K53" s="587"/>
      <c r="L53" s="623"/>
      <c r="M53" s="623"/>
      <c r="N53" s="623"/>
      <c r="O53" s="623"/>
      <c r="P53" s="623"/>
      <c r="Q53" s="638"/>
    </row>
    <row r="54" spans="1:17" ht="6.75" customHeight="1" x14ac:dyDescent="0.2">
      <c r="A54" s="661"/>
      <c r="B54" s="644"/>
      <c r="C54" s="583"/>
      <c r="D54" s="648"/>
      <c r="E54" s="650"/>
      <c r="F54" s="650"/>
      <c r="G54" s="650"/>
      <c r="H54" s="650"/>
      <c r="I54" s="650"/>
      <c r="J54" s="650"/>
      <c r="K54" s="629"/>
      <c r="L54" s="624"/>
      <c r="M54" s="624"/>
      <c r="N54" s="624"/>
      <c r="O54" s="624"/>
      <c r="P54" s="624"/>
      <c r="Q54" s="652"/>
    </row>
    <row r="55" spans="1:17" ht="6.75" customHeight="1" x14ac:dyDescent="0.2">
      <c r="A55" s="661"/>
      <c r="B55" s="644"/>
      <c r="C55" s="583"/>
      <c r="D55" s="648"/>
      <c r="E55" s="651"/>
      <c r="F55" s="651"/>
      <c r="G55" s="651"/>
      <c r="H55" s="651"/>
      <c r="I55" s="651"/>
      <c r="J55" s="651"/>
      <c r="K55" s="629"/>
      <c r="L55" s="624"/>
      <c r="M55" s="624"/>
      <c r="N55" s="624"/>
      <c r="O55" s="624"/>
      <c r="P55" s="624"/>
      <c r="Q55" s="652"/>
    </row>
    <row r="56" spans="1:17" ht="17.25" customHeight="1" x14ac:dyDescent="0.2">
      <c r="A56" s="661"/>
      <c r="B56" s="644"/>
      <c r="C56" s="583"/>
      <c r="D56" s="119" t="s">
        <v>5</v>
      </c>
      <c r="E56" s="143">
        <f>E53</f>
        <v>1520.9</v>
      </c>
      <c r="F56" s="143">
        <f>F53</f>
        <v>260.8</v>
      </c>
      <c r="G56" s="143">
        <f>SUM(G59,G61,G64)</f>
        <v>100</v>
      </c>
      <c r="H56" s="143">
        <f>H61</f>
        <v>80</v>
      </c>
      <c r="I56" s="143">
        <f>I61</f>
        <v>80</v>
      </c>
      <c r="J56" s="143">
        <f>J61</f>
        <v>80</v>
      </c>
      <c r="K56" s="629"/>
      <c r="L56" s="624"/>
      <c r="M56" s="624"/>
      <c r="N56" s="624"/>
      <c r="O56" s="624"/>
      <c r="P56" s="624"/>
      <c r="Q56" s="652"/>
    </row>
    <row r="57" spans="1:17" ht="17.25" customHeight="1" x14ac:dyDescent="0.2">
      <c r="A57" s="654"/>
      <c r="B57" s="645"/>
      <c r="C57" s="646"/>
      <c r="D57" s="147" t="s">
        <v>6</v>
      </c>
      <c r="E57" s="147">
        <f t="shared" ref="E57:J57" si="3">E67</f>
        <v>319.3</v>
      </c>
      <c r="F57" s="147">
        <f t="shared" si="3"/>
        <v>0</v>
      </c>
      <c r="G57" s="147">
        <f t="shared" si="3"/>
        <v>319.3</v>
      </c>
      <c r="H57" s="147">
        <f t="shared" si="3"/>
        <v>0</v>
      </c>
      <c r="I57" s="147">
        <f t="shared" si="3"/>
        <v>0</v>
      </c>
      <c r="J57" s="147">
        <f t="shared" si="3"/>
        <v>0</v>
      </c>
      <c r="K57" s="630"/>
      <c r="L57" s="624"/>
      <c r="M57" s="624"/>
      <c r="N57" s="624"/>
      <c r="O57" s="624"/>
      <c r="P57" s="624"/>
      <c r="Q57" s="652"/>
    </row>
    <row r="58" spans="1:17" ht="25.35" customHeight="1" x14ac:dyDescent="0.2">
      <c r="A58" s="582" t="s">
        <v>87</v>
      </c>
      <c r="B58" s="584" t="s">
        <v>84</v>
      </c>
      <c r="C58" s="642" t="s">
        <v>161</v>
      </c>
      <c r="D58" s="137" t="s">
        <v>207</v>
      </c>
      <c r="E58" s="144">
        <f t="shared" ref="E58:J58" si="4">E59</f>
        <v>104.4</v>
      </c>
      <c r="F58" s="144">
        <f t="shared" si="4"/>
        <v>104.4</v>
      </c>
      <c r="G58" s="144">
        <f t="shared" si="4"/>
        <v>0</v>
      </c>
      <c r="H58" s="144">
        <f t="shared" si="4"/>
        <v>0</v>
      </c>
      <c r="I58" s="144">
        <f t="shared" si="4"/>
        <v>0</v>
      </c>
      <c r="J58" s="144">
        <f t="shared" si="4"/>
        <v>0</v>
      </c>
      <c r="K58" s="579" t="s">
        <v>261</v>
      </c>
      <c r="L58" s="623" t="s">
        <v>236</v>
      </c>
      <c r="M58" s="623" t="s">
        <v>213</v>
      </c>
      <c r="N58" s="623" t="s">
        <v>213</v>
      </c>
      <c r="O58" s="623" t="s">
        <v>213</v>
      </c>
      <c r="P58" s="623" t="s">
        <v>213</v>
      </c>
      <c r="Q58" s="656" t="s">
        <v>51</v>
      </c>
    </row>
    <row r="59" spans="1:17" ht="11.25" customHeight="1" x14ac:dyDescent="0.2">
      <c r="A59" s="653"/>
      <c r="B59" s="655"/>
      <c r="C59" s="583"/>
      <c r="D59" s="603" t="s">
        <v>5</v>
      </c>
      <c r="E59" s="609">
        <f>SUM(F59:J60)</f>
        <v>104.4</v>
      </c>
      <c r="F59" s="658">
        <v>104.4</v>
      </c>
      <c r="G59" s="660">
        <v>0</v>
      </c>
      <c r="H59" s="660">
        <v>0</v>
      </c>
      <c r="I59" s="660">
        <v>0</v>
      </c>
      <c r="J59" s="660">
        <v>0</v>
      </c>
      <c r="K59" s="579"/>
      <c r="L59" s="624"/>
      <c r="M59" s="624"/>
      <c r="N59" s="624"/>
      <c r="O59" s="624"/>
      <c r="P59" s="624"/>
      <c r="Q59" s="657"/>
    </row>
    <row r="60" spans="1:17" ht="12.75" customHeight="1" thickBot="1" x14ac:dyDescent="0.25">
      <c r="A60" s="654"/>
      <c r="B60" s="645"/>
      <c r="C60" s="646"/>
      <c r="D60" s="604"/>
      <c r="E60" s="606"/>
      <c r="F60" s="659"/>
      <c r="G60" s="637"/>
      <c r="H60" s="637"/>
      <c r="I60" s="637"/>
      <c r="J60" s="637"/>
      <c r="K60" s="579"/>
      <c r="L60" s="624"/>
      <c r="M60" s="624"/>
      <c r="N60" s="624"/>
      <c r="O60" s="624"/>
      <c r="P60" s="624"/>
      <c r="Q60" s="657"/>
    </row>
    <row r="61" spans="1:17" ht="23.1" customHeight="1" x14ac:dyDescent="0.2">
      <c r="A61" s="582" t="s">
        <v>88</v>
      </c>
      <c r="B61" s="584" t="s">
        <v>86</v>
      </c>
      <c r="C61" s="642" t="s">
        <v>161</v>
      </c>
      <c r="D61" s="120" t="s">
        <v>207</v>
      </c>
      <c r="E61" s="143">
        <f t="shared" ref="E61:J61" si="5">E62</f>
        <v>332.8</v>
      </c>
      <c r="F61" s="143">
        <f t="shared" si="5"/>
        <v>92.8</v>
      </c>
      <c r="G61" s="143">
        <f t="shared" si="5"/>
        <v>0</v>
      </c>
      <c r="H61" s="143">
        <f t="shared" si="5"/>
        <v>80</v>
      </c>
      <c r="I61" s="143">
        <f t="shared" si="5"/>
        <v>80</v>
      </c>
      <c r="J61" s="143">
        <f t="shared" si="5"/>
        <v>80</v>
      </c>
      <c r="K61" s="579" t="s">
        <v>261</v>
      </c>
      <c r="L61" s="623" t="s">
        <v>236</v>
      </c>
      <c r="M61" s="623" t="s">
        <v>213</v>
      </c>
      <c r="N61" s="623" t="s">
        <v>236</v>
      </c>
      <c r="O61" s="623" t="s">
        <v>236</v>
      </c>
      <c r="P61" s="623" t="s">
        <v>236</v>
      </c>
      <c r="Q61" s="656" t="s">
        <v>51</v>
      </c>
    </row>
    <row r="62" spans="1:17" ht="12" customHeight="1" x14ac:dyDescent="0.2">
      <c r="A62" s="653"/>
      <c r="B62" s="655"/>
      <c r="C62" s="583"/>
      <c r="D62" s="603" t="s">
        <v>5</v>
      </c>
      <c r="E62" s="605">
        <f>SUM(F62:J63)</f>
        <v>332.8</v>
      </c>
      <c r="F62" s="662">
        <v>92.8</v>
      </c>
      <c r="G62" s="611">
        <f>80-80</f>
        <v>0</v>
      </c>
      <c r="H62" s="611">
        <v>80</v>
      </c>
      <c r="I62" s="611">
        <v>80</v>
      </c>
      <c r="J62" s="611">
        <v>80</v>
      </c>
      <c r="K62" s="579"/>
      <c r="L62" s="624"/>
      <c r="M62" s="624"/>
      <c r="N62" s="624"/>
      <c r="O62" s="624"/>
      <c r="P62" s="624"/>
      <c r="Q62" s="657"/>
    </row>
    <row r="63" spans="1:17" ht="12.75" customHeight="1" thickBot="1" x14ac:dyDescent="0.25">
      <c r="A63" s="654"/>
      <c r="B63" s="645"/>
      <c r="C63" s="646"/>
      <c r="D63" s="604"/>
      <c r="E63" s="606"/>
      <c r="F63" s="659"/>
      <c r="G63" s="637"/>
      <c r="H63" s="637"/>
      <c r="I63" s="637"/>
      <c r="J63" s="637"/>
      <c r="K63" s="579"/>
      <c r="L63" s="624"/>
      <c r="M63" s="624"/>
      <c r="N63" s="624"/>
      <c r="O63" s="624"/>
      <c r="P63" s="624"/>
      <c r="Q63" s="657"/>
    </row>
    <row r="64" spans="1:17" ht="21.6" customHeight="1" x14ac:dyDescent="0.2">
      <c r="A64" s="582" t="s">
        <v>140</v>
      </c>
      <c r="B64" s="584" t="s">
        <v>139</v>
      </c>
      <c r="C64" s="642" t="s">
        <v>161</v>
      </c>
      <c r="D64" s="120" t="s">
        <v>207</v>
      </c>
      <c r="E64" s="169">
        <f t="shared" ref="E64:J64" si="6">E65</f>
        <v>163.6</v>
      </c>
      <c r="F64" s="169">
        <f t="shared" si="6"/>
        <v>63.6</v>
      </c>
      <c r="G64" s="169">
        <f>G65</f>
        <v>100</v>
      </c>
      <c r="H64" s="169">
        <f t="shared" si="6"/>
        <v>0</v>
      </c>
      <c r="I64" s="169">
        <f t="shared" si="6"/>
        <v>0</v>
      </c>
      <c r="J64" s="169">
        <f t="shared" si="6"/>
        <v>0</v>
      </c>
      <c r="K64" s="587" t="s">
        <v>261</v>
      </c>
      <c r="L64" s="589" t="s">
        <v>236</v>
      </c>
      <c r="M64" s="589" t="s">
        <v>236</v>
      </c>
      <c r="N64" s="589" t="s">
        <v>213</v>
      </c>
      <c r="O64" s="589" t="s">
        <v>213</v>
      </c>
      <c r="P64" s="589" t="s">
        <v>213</v>
      </c>
      <c r="Q64" s="582" t="s">
        <v>51</v>
      </c>
    </row>
    <row r="65" spans="1:17" ht="13.5" customHeight="1" x14ac:dyDescent="0.2">
      <c r="A65" s="663"/>
      <c r="B65" s="663"/>
      <c r="C65" s="663"/>
      <c r="D65" s="160" t="s">
        <v>5</v>
      </c>
      <c r="E65" s="154">
        <f>SUM(F65:J65)</f>
        <v>163.6</v>
      </c>
      <c r="F65" s="162">
        <v>63.6</v>
      </c>
      <c r="G65" s="162">
        <v>100</v>
      </c>
      <c r="H65" s="162">
        <v>0</v>
      </c>
      <c r="I65" s="162">
        <v>0</v>
      </c>
      <c r="J65" s="162">
        <v>0</v>
      </c>
      <c r="K65" s="663"/>
      <c r="L65" s="663"/>
      <c r="M65" s="664"/>
      <c r="N65" s="663"/>
      <c r="O65" s="664"/>
      <c r="P65" s="664"/>
      <c r="Q65" s="663"/>
    </row>
    <row r="66" spans="1:17" ht="67.5" customHeight="1" x14ac:dyDescent="0.2">
      <c r="A66" s="176" t="s">
        <v>292</v>
      </c>
      <c r="B66" s="140" t="s">
        <v>289</v>
      </c>
      <c r="C66" s="665" t="s">
        <v>161</v>
      </c>
      <c r="D66" s="139" t="s">
        <v>249</v>
      </c>
      <c r="E66" s="153">
        <f t="shared" ref="E66:J66" si="7">E67+E68</f>
        <v>319.3</v>
      </c>
      <c r="F66" s="153">
        <f t="shared" si="7"/>
        <v>0</v>
      </c>
      <c r="G66" s="153">
        <f t="shared" si="7"/>
        <v>319.3</v>
      </c>
      <c r="H66" s="153">
        <f t="shared" si="7"/>
        <v>0</v>
      </c>
      <c r="I66" s="153">
        <f t="shared" si="7"/>
        <v>0</v>
      </c>
      <c r="J66" s="153">
        <f t="shared" si="7"/>
        <v>0</v>
      </c>
      <c r="K66" s="667" t="s">
        <v>291</v>
      </c>
      <c r="L66" s="603">
        <v>0</v>
      </c>
      <c r="M66" s="603">
        <v>100</v>
      </c>
      <c r="N66" s="603">
        <v>0</v>
      </c>
      <c r="O66" s="603">
        <v>0</v>
      </c>
      <c r="P66" s="603">
        <v>0</v>
      </c>
      <c r="Q66" s="603" t="s">
        <v>51</v>
      </c>
    </row>
    <row r="67" spans="1:17" ht="157.5" customHeight="1" x14ac:dyDescent="0.2">
      <c r="A67" s="176" t="s">
        <v>293</v>
      </c>
      <c r="B67" s="170" t="s">
        <v>290</v>
      </c>
      <c r="C67" s="585"/>
      <c r="D67" s="150" t="s">
        <v>6</v>
      </c>
      <c r="E67" s="153">
        <f>F67+G67+H67+I67+J67</f>
        <v>319.3</v>
      </c>
      <c r="F67" s="153">
        <v>0</v>
      </c>
      <c r="G67" s="153">
        <v>319.3</v>
      </c>
      <c r="H67" s="153">
        <v>0</v>
      </c>
      <c r="I67" s="153">
        <v>0</v>
      </c>
      <c r="J67" s="153">
        <v>0</v>
      </c>
      <c r="K67" s="668"/>
      <c r="L67" s="590"/>
      <c r="M67" s="590"/>
      <c r="N67" s="590"/>
      <c r="O67" s="590"/>
      <c r="P67" s="590"/>
      <c r="Q67" s="590"/>
    </row>
    <row r="68" spans="1:17" ht="24" customHeight="1" x14ac:dyDescent="0.2">
      <c r="A68" s="148" t="s">
        <v>294</v>
      </c>
      <c r="B68" s="170" t="s">
        <v>204</v>
      </c>
      <c r="C68" s="666"/>
      <c r="D68" s="150" t="s">
        <v>5</v>
      </c>
      <c r="E68" s="153">
        <f>F68+G68+H68+I68+J68</f>
        <v>0</v>
      </c>
      <c r="F68" s="153">
        <v>0</v>
      </c>
      <c r="G68" s="153">
        <v>0</v>
      </c>
      <c r="H68" s="153">
        <v>0</v>
      </c>
      <c r="I68" s="153">
        <v>0</v>
      </c>
      <c r="J68" s="153">
        <v>0</v>
      </c>
      <c r="K68" s="669"/>
      <c r="L68" s="670"/>
      <c r="M68" s="670"/>
      <c r="N68" s="670"/>
      <c r="O68" s="670"/>
      <c r="P68" s="670"/>
      <c r="Q68" s="670"/>
    </row>
    <row r="69" spans="1:17" ht="6.75" customHeight="1" x14ac:dyDescent="0.2">
      <c r="A69" s="582" t="s">
        <v>90</v>
      </c>
      <c r="B69" s="584" t="s">
        <v>92</v>
      </c>
      <c r="C69" s="642" t="s">
        <v>161</v>
      </c>
      <c r="D69" s="671" t="s">
        <v>224</v>
      </c>
      <c r="E69" s="674">
        <f>SUM(F69:J72)</f>
        <v>880.8</v>
      </c>
      <c r="F69" s="674">
        <f>SUM(F76,F79,F80)</f>
        <v>800.8</v>
      </c>
      <c r="G69" s="674">
        <f>SUM(G76,G79)</f>
        <v>20</v>
      </c>
      <c r="H69" s="674">
        <f>SUM(H76,H79)</f>
        <v>20</v>
      </c>
      <c r="I69" s="674">
        <f>SUM(I76,I79)</f>
        <v>20</v>
      </c>
      <c r="J69" s="674">
        <f>SUM(J76,J79)</f>
        <v>20</v>
      </c>
      <c r="K69" s="622"/>
      <c r="L69" s="623"/>
      <c r="M69" s="623"/>
      <c r="N69" s="623"/>
      <c r="O69" s="623"/>
      <c r="P69" s="623"/>
      <c r="Q69" s="638"/>
    </row>
    <row r="70" spans="1:17" ht="6.75" customHeight="1" x14ac:dyDescent="0.2">
      <c r="A70" s="661"/>
      <c r="B70" s="644"/>
      <c r="C70" s="583"/>
      <c r="D70" s="672"/>
      <c r="E70" s="675"/>
      <c r="F70" s="675"/>
      <c r="G70" s="675"/>
      <c r="H70" s="675"/>
      <c r="I70" s="675"/>
      <c r="J70" s="675"/>
      <c r="K70" s="579"/>
      <c r="L70" s="624"/>
      <c r="M70" s="624"/>
      <c r="N70" s="624"/>
      <c r="O70" s="624"/>
      <c r="P70" s="624"/>
      <c r="Q70" s="652"/>
    </row>
    <row r="71" spans="1:17" ht="10.5" customHeight="1" x14ac:dyDescent="0.2">
      <c r="A71" s="661"/>
      <c r="B71" s="644"/>
      <c r="C71" s="583"/>
      <c r="D71" s="672"/>
      <c r="E71" s="675"/>
      <c r="F71" s="675"/>
      <c r="G71" s="675"/>
      <c r="H71" s="675"/>
      <c r="I71" s="675"/>
      <c r="J71" s="675"/>
      <c r="K71" s="579"/>
      <c r="L71" s="624"/>
      <c r="M71" s="624"/>
      <c r="N71" s="624"/>
      <c r="O71" s="624"/>
      <c r="P71" s="624"/>
      <c r="Q71" s="652"/>
    </row>
    <row r="72" spans="1:17" ht="10.5" customHeight="1" x14ac:dyDescent="0.2">
      <c r="A72" s="661"/>
      <c r="B72" s="644"/>
      <c r="C72" s="583"/>
      <c r="D72" s="673"/>
      <c r="E72" s="676"/>
      <c r="F72" s="676"/>
      <c r="G72" s="676"/>
      <c r="H72" s="676"/>
      <c r="I72" s="676"/>
      <c r="J72" s="676"/>
      <c r="K72" s="579"/>
      <c r="L72" s="624"/>
      <c r="M72" s="624"/>
      <c r="N72" s="624"/>
      <c r="O72" s="624"/>
      <c r="P72" s="624"/>
      <c r="Q72" s="652"/>
    </row>
    <row r="73" spans="1:17" ht="10.5" customHeight="1" x14ac:dyDescent="0.2">
      <c r="A73" s="653"/>
      <c r="B73" s="655"/>
      <c r="C73" s="583"/>
      <c r="D73" s="150" t="s">
        <v>5</v>
      </c>
      <c r="E73" s="134">
        <f t="shared" ref="E73:J73" si="8">E69</f>
        <v>880.8</v>
      </c>
      <c r="F73" s="134">
        <f t="shared" si="8"/>
        <v>800.8</v>
      </c>
      <c r="G73" s="134">
        <f t="shared" si="8"/>
        <v>20</v>
      </c>
      <c r="H73" s="134">
        <f t="shared" si="8"/>
        <v>20</v>
      </c>
      <c r="I73" s="134">
        <f t="shared" si="8"/>
        <v>20</v>
      </c>
      <c r="J73" s="134">
        <f t="shared" si="8"/>
        <v>20</v>
      </c>
      <c r="K73" s="579"/>
      <c r="L73" s="624"/>
      <c r="M73" s="624"/>
      <c r="N73" s="624"/>
      <c r="O73" s="624"/>
      <c r="P73" s="624"/>
      <c r="Q73" s="652"/>
    </row>
    <row r="74" spans="1:17" ht="10.5" customHeight="1" x14ac:dyDescent="0.2">
      <c r="A74" s="654"/>
      <c r="B74" s="645"/>
      <c r="C74" s="646"/>
      <c r="D74" s="150" t="s">
        <v>6</v>
      </c>
      <c r="E74" s="134">
        <f t="shared" ref="E74:J74" si="9">E80</f>
        <v>269</v>
      </c>
      <c r="F74" s="134">
        <f t="shared" si="9"/>
        <v>269</v>
      </c>
      <c r="G74" s="134">
        <f t="shared" si="9"/>
        <v>0</v>
      </c>
      <c r="H74" s="134">
        <f t="shared" si="9"/>
        <v>0</v>
      </c>
      <c r="I74" s="134">
        <f t="shared" si="9"/>
        <v>0</v>
      </c>
      <c r="J74" s="134">
        <f t="shared" si="9"/>
        <v>0</v>
      </c>
      <c r="K74" s="579"/>
      <c r="L74" s="624"/>
      <c r="M74" s="624"/>
      <c r="N74" s="624"/>
      <c r="O74" s="624"/>
      <c r="P74" s="624"/>
      <c r="Q74" s="652"/>
    </row>
    <row r="75" spans="1:17" ht="24.6" customHeight="1" x14ac:dyDescent="0.2">
      <c r="A75" s="582" t="s">
        <v>91</v>
      </c>
      <c r="B75" s="584" t="s">
        <v>86</v>
      </c>
      <c r="C75" s="642" t="s">
        <v>161</v>
      </c>
      <c r="D75" s="137" t="s">
        <v>207</v>
      </c>
      <c r="E75" s="135">
        <f t="shared" ref="E75:J75" si="10">E76</f>
        <v>158.80000000000001</v>
      </c>
      <c r="F75" s="135">
        <f t="shared" si="10"/>
        <v>78.8</v>
      </c>
      <c r="G75" s="135">
        <f t="shared" si="10"/>
        <v>20</v>
      </c>
      <c r="H75" s="135">
        <f t="shared" si="10"/>
        <v>20</v>
      </c>
      <c r="I75" s="135">
        <f t="shared" si="10"/>
        <v>20</v>
      </c>
      <c r="J75" s="135">
        <f t="shared" si="10"/>
        <v>20</v>
      </c>
      <c r="K75" s="622" t="s">
        <v>261</v>
      </c>
      <c r="L75" s="623" t="s">
        <v>236</v>
      </c>
      <c r="M75" s="623" t="s">
        <v>236</v>
      </c>
      <c r="N75" s="623" t="s">
        <v>236</v>
      </c>
      <c r="O75" s="623" t="s">
        <v>236</v>
      </c>
      <c r="P75" s="623" t="s">
        <v>236</v>
      </c>
      <c r="Q75" s="582" t="s">
        <v>142</v>
      </c>
    </row>
    <row r="76" spans="1:17" ht="13.5" customHeight="1" x14ac:dyDescent="0.2">
      <c r="A76" s="653"/>
      <c r="B76" s="655"/>
      <c r="C76" s="677"/>
      <c r="D76" s="603" t="s">
        <v>5</v>
      </c>
      <c r="E76" s="679">
        <f>SUM(F76:J77)</f>
        <v>158.80000000000001</v>
      </c>
      <c r="F76" s="662">
        <f>118.8-40</f>
        <v>78.8</v>
      </c>
      <c r="G76" s="662">
        <v>20</v>
      </c>
      <c r="H76" s="662">
        <v>20</v>
      </c>
      <c r="I76" s="662">
        <v>20</v>
      </c>
      <c r="J76" s="662">
        <v>20</v>
      </c>
      <c r="K76" s="579"/>
      <c r="L76" s="624"/>
      <c r="M76" s="624"/>
      <c r="N76" s="624"/>
      <c r="O76" s="624"/>
      <c r="P76" s="624"/>
      <c r="Q76" s="661"/>
    </row>
    <row r="77" spans="1:17" ht="11.25" customHeight="1" thickBot="1" x14ac:dyDescent="0.25">
      <c r="A77" s="654"/>
      <c r="B77" s="645"/>
      <c r="C77" s="677"/>
      <c r="D77" s="604"/>
      <c r="E77" s="680"/>
      <c r="F77" s="659"/>
      <c r="G77" s="659"/>
      <c r="H77" s="659"/>
      <c r="I77" s="659"/>
      <c r="J77" s="659"/>
      <c r="K77" s="579"/>
      <c r="L77" s="624"/>
      <c r="M77" s="624"/>
      <c r="N77" s="624"/>
      <c r="O77" s="624"/>
      <c r="P77" s="624"/>
      <c r="Q77" s="678"/>
    </row>
    <row r="78" spans="1:17" ht="24" customHeight="1" x14ac:dyDescent="0.2">
      <c r="A78" s="582" t="s">
        <v>141</v>
      </c>
      <c r="B78" s="584" t="s">
        <v>139</v>
      </c>
      <c r="C78" s="612" t="s">
        <v>260</v>
      </c>
      <c r="D78" s="120" t="s">
        <v>207</v>
      </c>
      <c r="E78" s="135">
        <f t="shared" ref="E78:J78" si="11">E80+E79</f>
        <v>722</v>
      </c>
      <c r="F78" s="135">
        <f t="shared" si="11"/>
        <v>722</v>
      </c>
      <c r="G78" s="135">
        <f t="shared" si="11"/>
        <v>0</v>
      </c>
      <c r="H78" s="135">
        <f t="shared" si="11"/>
        <v>0</v>
      </c>
      <c r="I78" s="135">
        <f t="shared" si="11"/>
        <v>0</v>
      </c>
      <c r="J78" s="135">
        <f t="shared" si="11"/>
        <v>0</v>
      </c>
      <c r="K78" s="622" t="s">
        <v>261</v>
      </c>
      <c r="L78" s="623" t="s">
        <v>236</v>
      </c>
      <c r="M78" s="623" t="s">
        <v>213</v>
      </c>
      <c r="N78" s="623" t="s">
        <v>213</v>
      </c>
      <c r="O78" s="623" t="s">
        <v>213</v>
      </c>
      <c r="P78" s="623" t="s">
        <v>213</v>
      </c>
      <c r="Q78" s="582" t="s">
        <v>142</v>
      </c>
    </row>
    <row r="79" spans="1:17" ht="16.5" customHeight="1" x14ac:dyDescent="0.2">
      <c r="A79" s="653"/>
      <c r="B79" s="655"/>
      <c r="C79" s="570"/>
      <c r="D79" s="165" t="s">
        <v>5</v>
      </c>
      <c r="E79" s="76">
        <f>SUM(F79:J79)</f>
        <v>453</v>
      </c>
      <c r="F79" s="173">
        <v>453</v>
      </c>
      <c r="G79" s="173">
        <v>0</v>
      </c>
      <c r="H79" s="173">
        <v>0</v>
      </c>
      <c r="I79" s="161">
        <v>0</v>
      </c>
      <c r="J79" s="161">
        <v>0</v>
      </c>
      <c r="K79" s="579"/>
      <c r="L79" s="624"/>
      <c r="M79" s="624"/>
      <c r="N79" s="624"/>
      <c r="O79" s="624"/>
      <c r="P79" s="624"/>
      <c r="Q79" s="661"/>
    </row>
    <row r="80" spans="1:17" ht="16.5" customHeight="1" thickBot="1" x14ac:dyDescent="0.25">
      <c r="A80" s="654"/>
      <c r="B80" s="645"/>
      <c r="C80" s="570"/>
      <c r="D80" s="145" t="s">
        <v>6</v>
      </c>
      <c r="E80" s="174">
        <f>SUM(F80:J80)</f>
        <v>269</v>
      </c>
      <c r="F80" s="161">
        <v>269</v>
      </c>
      <c r="G80" s="161">
        <v>0</v>
      </c>
      <c r="H80" s="161">
        <v>0</v>
      </c>
      <c r="I80" s="161">
        <v>0</v>
      </c>
      <c r="J80" s="161">
        <v>0</v>
      </c>
      <c r="K80" s="579"/>
      <c r="L80" s="624"/>
      <c r="M80" s="624"/>
      <c r="N80" s="624"/>
      <c r="O80" s="624"/>
      <c r="P80" s="624"/>
      <c r="Q80" s="678"/>
    </row>
    <row r="81" spans="1:17" ht="18" customHeight="1" x14ac:dyDescent="0.2">
      <c r="A81" s="612"/>
      <c r="B81" s="581" t="s">
        <v>48</v>
      </c>
      <c r="C81" s="612"/>
      <c r="D81" s="864" t="s">
        <v>207</v>
      </c>
      <c r="E81" s="577">
        <f>SUM(F81:J82)</f>
        <v>3102.8</v>
      </c>
      <c r="F81" s="577">
        <f>SUM(F83:F84)</f>
        <v>1883.5</v>
      </c>
      <c r="G81" s="577">
        <f>SUM(G83:G84)</f>
        <v>739.3</v>
      </c>
      <c r="H81" s="577">
        <f>SUM(H83:H84)</f>
        <v>160</v>
      </c>
      <c r="I81" s="577">
        <f>SUM(I83:I84)</f>
        <v>160</v>
      </c>
      <c r="J81" s="577">
        <f>SUM(J83:J84)</f>
        <v>160</v>
      </c>
      <c r="K81" s="681"/>
      <c r="L81" s="579"/>
      <c r="M81" s="579"/>
      <c r="N81" s="579"/>
      <c r="O81" s="579"/>
      <c r="P81" s="579"/>
      <c r="Q81" s="579"/>
    </row>
    <row r="82" spans="1:17" ht="12.75" customHeight="1" x14ac:dyDescent="0.2">
      <c r="A82" s="612"/>
      <c r="B82" s="581"/>
      <c r="C82" s="612"/>
      <c r="D82" s="865"/>
      <c r="E82" s="578"/>
      <c r="F82" s="578"/>
      <c r="G82" s="578"/>
      <c r="H82" s="578"/>
      <c r="I82" s="578"/>
      <c r="J82" s="578"/>
      <c r="K82" s="682"/>
      <c r="L82" s="579"/>
      <c r="M82" s="579"/>
      <c r="N82" s="579"/>
      <c r="O82" s="579"/>
      <c r="P82" s="579"/>
      <c r="Q82" s="579"/>
    </row>
    <row r="83" spans="1:17" ht="14.25" customHeight="1" thickBot="1" x14ac:dyDescent="0.25">
      <c r="A83" s="612"/>
      <c r="B83" s="581"/>
      <c r="C83" s="612"/>
      <c r="D83" s="136" t="s">
        <v>5</v>
      </c>
      <c r="E83" s="44">
        <f>SUM(F83:J83)</f>
        <v>2514.5</v>
      </c>
      <c r="F83" s="44">
        <f>SUM(F76,F79,F53,F40,F42)</f>
        <v>1614.5</v>
      </c>
      <c r="G83" s="44">
        <f>SUM(G69,G56,G40,G42)</f>
        <v>420</v>
      </c>
      <c r="H83" s="44">
        <f>SUM(H69,H53,H40,H42)</f>
        <v>160</v>
      </c>
      <c r="I83" s="44">
        <f>SUM(I69,I53,I40,I42)</f>
        <v>160</v>
      </c>
      <c r="J83" s="45">
        <f>SUM(J69,J53,J40,J42)</f>
        <v>160</v>
      </c>
      <c r="K83" s="682"/>
      <c r="L83" s="579"/>
      <c r="M83" s="579"/>
      <c r="N83" s="579"/>
      <c r="O83" s="579"/>
      <c r="P83" s="579"/>
      <c r="Q83" s="579"/>
    </row>
    <row r="84" spans="1:17" ht="14.25" customHeight="1" thickBot="1" x14ac:dyDescent="0.25">
      <c r="A84" s="570"/>
      <c r="B84" s="863"/>
      <c r="C84" s="570"/>
      <c r="D84" s="136" t="s">
        <v>6</v>
      </c>
      <c r="E84" s="45">
        <f t="shared" ref="E84:J84" si="12">E80</f>
        <v>269</v>
      </c>
      <c r="F84" s="45">
        <f t="shared" si="12"/>
        <v>269</v>
      </c>
      <c r="G84" s="45">
        <f>G80+G67</f>
        <v>319.3</v>
      </c>
      <c r="H84" s="45">
        <f t="shared" si="12"/>
        <v>0</v>
      </c>
      <c r="I84" s="45">
        <f t="shared" si="12"/>
        <v>0</v>
      </c>
      <c r="J84" s="45">
        <f t="shared" si="12"/>
        <v>0</v>
      </c>
      <c r="K84" s="683"/>
      <c r="L84" s="580"/>
      <c r="M84" s="580"/>
      <c r="N84" s="580"/>
      <c r="O84" s="580"/>
      <c r="P84" s="580"/>
      <c r="Q84" s="580"/>
    </row>
    <row r="85" spans="1:17" ht="13.5" customHeight="1" x14ac:dyDescent="0.2">
      <c r="A85" s="8" t="s">
        <v>38</v>
      </c>
      <c r="B85" s="626" t="s">
        <v>93</v>
      </c>
      <c r="C85" s="627"/>
      <c r="D85" s="593"/>
      <c r="E85" s="593"/>
      <c r="F85" s="593"/>
      <c r="G85" s="593"/>
      <c r="H85" s="593"/>
      <c r="I85" s="593"/>
      <c r="J85" s="593"/>
      <c r="K85" s="627"/>
      <c r="L85" s="627"/>
      <c r="M85" s="627"/>
      <c r="N85" s="627"/>
      <c r="O85" s="627"/>
      <c r="P85" s="627"/>
      <c r="Q85" s="628"/>
    </row>
    <row r="86" spans="1:17" ht="16.5" customHeight="1" x14ac:dyDescent="0.2">
      <c r="A86" s="582" t="s">
        <v>39</v>
      </c>
      <c r="B86" s="584" t="s">
        <v>58</v>
      </c>
      <c r="C86" s="642" t="s">
        <v>161</v>
      </c>
      <c r="D86" s="671" t="s">
        <v>223</v>
      </c>
      <c r="E86" s="649">
        <f t="shared" ref="E86:J86" si="13">SUM(E93:E95)</f>
        <v>360286.7</v>
      </c>
      <c r="F86" s="649">
        <f t="shared" si="13"/>
        <v>75088</v>
      </c>
      <c r="G86" s="649">
        <f t="shared" si="13"/>
        <v>71066.7</v>
      </c>
      <c r="H86" s="649">
        <f t="shared" si="13"/>
        <v>67622</v>
      </c>
      <c r="I86" s="649">
        <f t="shared" si="13"/>
        <v>73255</v>
      </c>
      <c r="J86" s="649">
        <f t="shared" si="13"/>
        <v>73255</v>
      </c>
      <c r="K86" s="622" t="s">
        <v>262</v>
      </c>
      <c r="L86" s="623" t="s">
        <v>236</v>
      </c>
      <c r="M86" s="623" t="s">
        <v>236</v>
      </c>
      <c r="N86" s="623" t="s">
        <v>236</v>
      </c>
      <c r="O86" s="623" t="s">
        <v>236</v>
      </c>
      <c r="P86" s="623" t="s">
        <v>236</v>
      </c>
      <c r="Q86" s="623" t="s">
        <v>99</v>
      </c>
    </row>
    <row r="87" spans="1:17" ht="14.1" customHeight="1" x14ac:dyDescent="0.2">
      <c r="A87" s="661"/>
      <c r="B87" s="644"/>
      <c r="C87" s="677"/>
      <c r="D87" s="672"/>
      <c r="E87" s="650"/>
      <c r="F87" s="650"/>
      <c r="G87" s="650"/>
      <c r="H87" s="650"/>
      <c r="I87" s="650"/>
      <c r="J87" s="650"/>
      <c r="K87" s="622"/>
      <c r="L87" s="623"/>
      <c r="M87" s="623"/>
      <c r="N87" s="623"/>
      <c r="O87" s="623"/>
      <c r="P87" s="623"/>
      <c r="Q87" s="623"/>
    </row>
    <row r="88" spans="1:17" ht="9.6" hidden="1" customHeight="1" x14ac:dyDescent="0.2">
      <c r="A88" s="661"/>
      <c r="B88" s="644"/>
      <c r="C88" s="677"/>
      <c r="D88" s="672"/>
      <c r="E88" s="650"/>
      <c r="F88" s="650"/>
      <c r="G88" s="650"/>
      <c r="H88" s="650"/>
      <c r="I88" s="650"/>
      <c r="J88" s="650"/>
      <c r="K88" s="622"/>
      <c r="L88" s="623"/>
      <c r="M88" s="623"/>
      <c r="N88" s="623"/>
      <c r="O88" s="623"/>
      <c r="P88" s="623"/>
      <c r="Q88" s="623"/>
    </row>
    <row r="89" spans="1:17" ht="16.5" customHeight="1" x14ac:dyDescent="0.2">
      <c r="A89" s="661"/>
      <c r="B89" s="644"/>
      <c r="C89" s="677"/>
      <c r="D89" s="673"/>
      <c r="E89" s="651"/>
      <c r="F89" s="651"/>
      <c r="G89" s="651"/>
      <c r="H89" s="651"/>
      <c r="I89" s="651"/>
      <c r="J89" s="651"/>
      <c r="K89" s="622"/>
      <c r="L89" s="623"/>
      <c r="M89" s="623"/>
      <c r="N89" s="623"/>
      <c r="O89" s="623"/>
      <c r="P89" s="623"/>
      <c r="Q89" s="623"/>
    </row>
    <row r="90" spans="1:17" ht="16.5" customHeight="1" x14ac:dyDescent="0.2">
      <c r="A90" s="653"/>
      <c r="B90" s="655"/>
      <c r="C90" s="583"/>
      <c r="D90" s="167" t="s">
        <v>5</v>
      </c>
      <c r="E90" s="152">
        <f t="shared" ref="E90:J90" si="14">E92</f>
        <v>119459.80000000002</v>
      </c>
      <c r="F90" s="152">
        <f t="shared" si="14"/>
        <v>28491.4</v>
      </c>
      <c r="G90" s="152">
        <f t="shared" si="14"/>
        <v>22292.1</v>
      </c>
      <c r="H90" s="152">
        <f t="shared" si="14"/>
        <v>20892.099999999999</v>
      </c>
      <c r="I90" s="152">
        <f t="shared" si="14"/>
        <v>23892.1</v>
      </c>
      <c r="J90" s="152">
        <f t="shared" si="14"/>
        <v>23892.1</v>
      </c>
      <c r="K90" s="580"/>
      <c r="L90" s="657"/>
      <c r="M90" s="657"/>
      <c r="N90" s="657"/>
      <c r="O90" s="657"/>
      <c r="P90" s="657"/>
      <c r="Q90" s="657"/>
    </row>
    <row r="91" spans="1:17" ht="16.5" customHeight="1" x14ac:dyDescent="0.2">
      <c r="A91" s="654"/>
      <c r="B91" s="645"/>
      <c r="C91" s="646"/>
      <c r="D91" s="167" t="s">
        <v>6</v>
      </c>
      <c r="E91" s="152">
        <f t="shared" ref="E91:J91" si="15">E94</f>
        <v>240826.9</v>
      </c>
      <c r="F91" s="152">
        <f t="shared" si="15"/>
        <v>46596.6</v>
      </c>
      <c r="G91" s="152">
        <f t="shared" si="15"/>
        <v>48774.6</v>
      </c>
      <c r="H91" s="152">
        <f t="shared" si="15"/>
        <v>46729.9</v>
      </c>
      <c r="I91" s="152">
        <f t="shared" si="15"/>
        <v>49362.9</v>
      </c>
      <c r="J91" s="152">
        <f t="shared" si="15"/>
        <v>49362.9</v>
      </c>
      <c r="K91" s="580"/>
      <c r="L91" s="657"/>
      <c r="M91" s="657"/>
      <c r="N91" s="657"/>
      <c r="O91" s="657"/>
      <c r="P91" s="657"/>
      <c r="Q91" s="657"/>
    </row>
    <row r="92" spans="1:17" ht="26.45" customHeight="1" x14ac:dyDescent="0.2">
      <c r="A92" s="582" t="s">
        <v>94</v>
      </c>
      <c r="B92" s="582" t="s">
        <v>109</v>
      </c>
      <c r="C92" s="642" t="s">
        <v>161</v>
      </c>
      <c r="D92" s="137" t="s">
        <v>207</v>
      </c>
      <c r="E92" s="144">
        <f t="shared" ref="E92:J92" si="16">E93</f>
        <v>119459.80000000002</v>
      </c>
      <c r="F92" s="144">
        <f t="shared" si="16"/>
        <v>28491.4</v>
      </c>
      <c r="G92" s="144">
        <f t="shared" si="16"/>
        <v>22292.1</v>
      </c>
      <c r="H92" s="144">
        <f t="shared" si="16"/>
        <v>20892.099999999999</v>
      </c>
      <c r="I92" s="144">
        <f t="shared" si="16"/>
        <v>23892.1</v>
      </c>
      <c r="J92" s="144">
        <f t="shared" si="16"/>
        <v>23892.1</v>
      </c>
      <c r="K92" s="622" t="s">
        <v>263</v>
      </c>
      <c r="L92" s="623" t="s">
        <v>236</v>
      </c>
      <c r="M92" s="623" t="s">
        <v>236</v>
      </c>
      <c r="N92" s="623" t="s">
        <v>236</v>
      </c>
      <c r="O92" s="623" t="s">
        <v>236</v>
      </c>
      <c r="P92" s="623" t="s">
        <v>236</v>
      </c>
      <c r="Q92" s="589" t="s">
        <v>99</v>
      </c>
    </row>
    <row r="93" spans="1:17" ht="20.45" customHeight="1" x14ac:dyDescent="0.2">
      <c r="A93" s="654"/>
      <c r="B93" s="704"/>
      <c r="C93" s="646"/>
      <c r="D93" s="150" t="s">
        <v>5</v>
      </c>
      <c r="E93" s="153">
        <f>SUM(F93:J93)</f>
        <v>119459.80000000002</v>
      </c>
      <c r="F93" s="147">
        <v>28491.4</v>
      </c>
      <c r="G93" s="147">
        <f>23892.1-1000-600</f>
        <v>22292.1</v>
      </c>
      <c r="H93" s="141">
        <v>20892.099999999999</v>
      </c>
      <c r="I93" s="141">
        <v>23892.1</v>
      </c>
      <c r="J93" s="141">
        <v>23892.1</v>
      </c>
      <c r="K93" s="580"/>
      <c r="L93" s="657"/>
      <c r="M93" s="657"/>
      <c r="N93" s="657"/>
      <c r="O93" s="657"/>
      <c r="P93" s="657"/>
      <c r="Q93" s="621"/>
    </row>
    <row r="94" spans="1:17" ht="26.1" customHeight="1" x14ac:dyDescent="0.2">
      <c r="A94" s="582" t="s">
        <v>95</v>
      </c>
      <c r="B94" s="582" t="s">
        <v>100</v>
      </c>
      <c r="C94" s="642" t="s">
        <v>161</v>
      </c>
      <c r="D94" s="671" t="s">
        <v>220</v>
      </c>
      <c r="E94" s="649">
        <f>F94+G94+H94+I94+J94</f>
        <v>240826.9</v>
      </c>
      <c r="F94" s="649">
        <f>F98+F103+F106+F109+F111</f>
        <v>46596.6</v>
      </c>
      <c r="G94" s="649">
        <f>G98+G103+G106+G109+G111</f>
        <v>48774.6</v>
      </c>
      <c r="H94" s="649">
        <f>H98+H103+H106+H109+H111</f>
        <v>46729.9</v>
      </c>
      <c r="I94" s="649">
        <f>I98+I103+I106+I109+I111</f>
        <v>49362.9</v>
      </c>
      <c r="J94" s="649">
        <f>J98+J103+J106+J109+J111</f>
        <v>49362.9</v>
      </c>
      <c r="K94" s="639" t="s">
        <v>263</v>
      </c>
      <c r="L94" s="633">
        <v>100</v>
      </c>
      <c r="M94" s="633">
        <v>100</v>
      </c>
      <c r="N94" s="633">
        <v>100</v>
      </c>
      <c r="O94" s="633">
        <v>100</v>
      </c>
      <c r="P94" s="633">
        <v>100</v>
      </c>
      <c r="Q94" s="589" t="s">
        <v>99</v>
      </c>
    </row>
    <row r="95" spans="1:17" ht="6" customHeight="1" x14ac:dyDescent="0.2">
      <c r="A95" s="661"/>
      <c r="B95" s="661"/>
      <c r="C95" s="677"/>
      <c r="D95" s="673"/>
      <c r="E95" s="621"/>
      <c r="F95" s="621"/>
      <c r="G95" s="621"/>
      <c r="H95" s="621"/>
      <c r="I95" s="621"/>
      <c r="J95" s="621"/>
      <c r="K95" s="629"/>
      <c r="L95" s="867"/>
      <c r="M95" s="867"/>
      <c r="N95" s="867"/>
      <c r="O95" s="867"/>
      <c r="P95" s="867"/>
      <c r="Q95" s="620"/>
    </row>
    <row r="96" spans="1:17" ht="16.350000000000001" customHeight="1" x14ac:dyDescent="0.2">
      <c r="A96" s="654"/>
      <c r="B96" s="654"/>
      <c r="C96" s="646"/>
      <c r="D96" s="160" t="s">
        <v>6</v>
      </c>
      <c r="E96" s="154">
        <f t="shared" ref="E96:J96" si="17">E94</f>
        <v>240826.9</v>
      </c>
      <c r="F96" s="154">
        <f t="shared" si="17"/>
        <v>46596.6</v>
      </c>
      <c r="G96" s="154">
        <f t="shared" si="17"/>
        <v>48774.6</v>
      </c>
      <c r="H96" s="154">
        <f t="shared" si="17"/>
        <v>46729.9</v>
      </c>
      <c r="I96" s="154">
        <f t="shared" si="17"/>
        <v>49362.9</v>
      </c>
      <c r="J96" s="154">
        <f t="shared" si="17"/>
        <v>49362.9</v>
      </c>
      <c r="K96" s="630"/>
      <c r="L96" s="621"/>
      <c r="M96" s="621"/>
      <c r="N96" s="621"/>
      <c r="O96" s="621"/>
      <c r="P96" s="621"/>
      <c r="Q96" s="621"/>
    </row>
    <row r="97" spans="1:17" ht="25.35" customHeight="1" x14ac:dyDescent="0.2">
      <c r="A97" s="582" t="s">
        <v>101</v>
      </c>
      <c r="B97" s="584" t="s">
        <v>103</v>
      </c>
      <c r="C97" s="642" t="s">
        <v>161</v>
      </c>
      <c r="D97" s="119" t="s">
        <v>207</v>
      </c>
      <c r="E97" s="169">
        <f t="shared" ref="E97:J97" si="18">E98</f>
        <v>10274</v>
      </c>
      <c r="F97" s="169">
        <f t="shared" si="18"/>
        <v>1840</v>
      </c>
      <c r="G97" s="169">
        <f t="shared" si="18"/>
        <v>1934</v>
      </c>
      <c r="H97" s="169">
        <f t="shared" si="18"/>
        <v>2100</v>
      </c>
      <c r="I97" s="169">
        <f t="shared" si="18"/>
        <v>2200</v>
      </c>
      <c r="J97" s="169">
        <f t="shared" si="18"/>
        <v>2200</v>
      </c>
      <c r="K97" s="587" t="s">
        <v>264</v>
      </c>
      <c r="L97" s="589" t="s">
        <v>236</v>
      </c>
      <c r="M97" s="589" t="s">
        <v>236</v>
      </c>
      <c r="N97" s="589" t="s">
        <v>236</v>
      </c>
      <c r="O97" s="589" t="s">
        <v>236</v>
      </c>
      <c r="P97" s="589" t="s">
        <v>236</v>
      </c>
      <c r="Q97" s="589" t="s">
        <v>99</v>
      </c>
    </row>
    <row r="98" spans="1:17" ht="19.5" customHeight="1" x14ac:dyDescent="0.2">
      <c r="A98" s="653"/>
      <c r="B98" s="707"/>
      <c r="C98" s="868"/>
      <c r="D98" s="603" t="s">
        <v>6</v>
      </c>
      <c r="E98" s="605">
        <f>SUM(F98:J99)</f>
        <v>10274</v>
      </c>
      <c r="F98" s="605">
        <v>1840</v>
      </c>
      <c r="G98" s="605">
        <v>1934</v>
      </c>
      <c r="H98" s="605">
        <v>2100</v>
      </c>
      <c r="I98" s="605">
        <v>2200</v>
      </c>
      <c r="J98" s="605">
        <v>2200</v>
      </c>
      <c r="K98" s="629"/>
      <c r="L98" s="866"/>
      <c r="M98" s="866"/>
      <c r="N98" s="866"/>
      <c r="O98" s="866"/>
      <c r="P98" s="866"/>
      <c r="Q98" s="620"/>
    </row>
    <row r="99" spans="1:17" ht="26.25" customHeight="1" x14ac:dyDescent="0.2">
      <c r="A99" s="653"/>
      <c r="B99" s="707"/>
      <c r="C99" s="868"/>
      <c r="D99" s="625"/>
      <c r="E99" s="609"/>
      <c r="F99" s="609"/>
      <c r="G99" s="609"/>
      <c r="H99" s="609"/>
      <c r="I99" s="609"/>
      <c r="J99" s="609"/>
      <c r="K99" s="629"/>
      <c r="L99" s="866"/>
      <c r="M99" s="866"/>
      <c r="N99" s="866"/>
      <c r="O99" s="866"/>
      <c r="P99" s="866"/>
      <c r="Q99" s="620"/>
    </row>
    <row r="100" spans="1:17" ht="6" customHeight="1" x14ac:dyDescent="0.2">
      <c r="A100" s="653"/>
      <c r="B100" s="707"/>
      <c r="C100" s="868"/>
      <c r="D100" s="590"/>
      <c r="E100" s="620"/>
      <c r="F100" s="590"/>
      <c r="G100" s="590"/>
      <c r="H100" s="590"/>
      <c r="I100" s="620"/>
      <c r="J100" s="620"/>
      <c r="K100" s="629"/>
      <c r="L100" s="866"/>
      <c r="M100" s="866"/>
      <c r="N100" s="866"/>
      <c r="O100" s="866"/>
      <c r="P100" s="866"/>
      <c r="Q100" s="620"/>
    </row>
    <row r="101" spans="1:17" ht="9" customHeight="1" x14ac:dyDescent="0.2">
      <c r="A101" s="654"/>
      <c r="B101" s="704"/>
      <c r="C101" s="869"/>
      <c r="D101" s="670"/>
      <c r="E101" s="621"/>
      <c r="F101" s="670"/>
      <c r="G101" s="670"/>
      <c r="H101" s="670"/>
      <c r="I101" s="621"/>
      <c r="J101" s="621"/>
      <c r="K101" s="630"/>
      <c r="L101" s="664"/>
      <c r="M101" s="664"/>
      <c r="N101" s="664"/>
      <c r="O101" s="664"/>
      <c r="P101" s="664"/>
      <c r="Q101" s="621"/>
    </row>
    <row r="102" spans="1:17" ht="26.45" customHeight="1" x14ac:dyDescent="0.2">
      <c r="A102" s="582" t="s">
        <v>102</v>
      </c>
      <c r="B102" s="584" t="s">
        <v>61</v>
      </c>
      <c r="C102" s="642" t="s">
        <v>161</v>
      </c>
      <c r="D102" s="119" t="s">
        <v>207</v>
      </c>
      <c r="E102" s="143">
        <f t="shared" ref="E102:J102" si="19">E103</f>
        <v>549.79999999999995</v>
      </c>
      <c r="F102" s="143">
        <f t="shared" si="19"/>
        <v>549.79999999999995</v>
      </c>
      <c r="G102" s="143">
        <f t="shared" si="19"/>
        <v>0</v>
      </c>
      <c r="H102" s="143">
        <f t="shared" si="19"/>
        <v>0</v>
      </c>
      <c r="I102" s="143">
        <f t="shared" si="19"/>
        <v>0</v>
      </c>
      <c r="J102" s="143">
        <f t="shared" si="19"/>
        <v>0</v>
      </c>
      <c r="K102" s="587" t="s">
        <v>263</v>
      </c>
      <c r="L102" s="589" t="s">
        <v>236</v>
      </c>
      <c r="M102" s="589" t="s">
        <v>213</v>
      </c>
      <c r="N102" s="589" t="s">
        <v>213</v>
      </c>
      <c r="O102" s="589" t="s">
        <v>213</v>
      </c>
      <c r="P102" s="589" t="s">
        <v>213</v>
      </c>
      <c r="Q102" s="159"/>
    </row>
    <row r="103" spans="1:17" ht="62.45" customHeight="1" x14ac:dyDescent="0.2">
      <c r="A103" s="653"/>
      <c r="B103" s="707"/>
      <c r="C103" s="583"/>
      <c r="D103" s="145" t="s">
        <v>6</v>
      </c>
      <c r="E103" s="151">
        <f t="shared" ref="E103:E112" si="20">SUM(F103:J103)</f>
        <v>549.79999999999995</v>
      </c>
      <c r="F103" s="151">
        <f>449.8+100</f>
        <v>549.79999999999995</v>
      </c>
      <c r="G103" s="151">
        <v>0</v>
      </c>
      <c r="H103" s="151">
        <v>0</v>
      </c>
      <c r="I103" s="151">
        <v>0</v>
      </c>
      <c r="J103" s="151">
        <v>0</v>
      </c>
      <c r="K103" s="629"/>
      <c r="L103" s="866"/>
      <c r="M103" s="866"/>
      <c r="N103" s="866"/>
      <c r="O103" s="866"/>
      <c r="P103" s="866"/>
      <c r="Q103" s="158" t="s">
        <v>206</v>
      </c>
    </row>
    <row r="104" spans="1:17" ht="51" hidden="1" customHeight="1" x14ac:dyDescent="0.2">
      <c r="A104" s="654"/>
      <c r="B104" s="704"/>
      <c r="C104" s="646"/>
      <c r="D104" s="145" t="s">
        <v>6</v>
      </c>
      <c r="E104" s="151">
        <v>0</v>
      </c>
      <c r="F104" s="151">
        <v>0</v>
      </c>
      <c r="G104" s="151">
        <v>0</v>
      </c>
      <c r="H104" s="151">
        <v>0</v>
      </c>
      <c r="I104" s="151">
        <v>0</v>
      </c>
      <c r="J104" s="151">
        <v>0</v>
      </c>
      <c r="K104" s="630"/>
      <c r="L104" s="664"/>
      <c r="M104" s="664"/>
      <c r="N104" s="664"/>
      <c r="O104" s="664"/>
      <c r="P104" s="664"/>
      <c r="Q104" s="158"/>
    </row>
    <row r="105" spans="1:17" ht="29.1" customHeight="1" x14ac:dyDescent="0.2">
      <c r="A105" s="705" t="s">
        <v>104</v>
      </c>
      <c r="B105" s="705" t="s">
        <v>66</v>
      </c>
      <c r="C105" s="642" t="s">
        <v>161</v>
      </c>
      <c r="D105" s="119" t="s">
        <v>207</v>
      </c>
      <c r="E105" s="142">
        <f t="shared" ref="E105:J105" si="21">E106</f>
        <v>223.9</v>
      </c>
      <c r="F105" s="142">
        <f t="shared" si="21"/>
        <v>45.9</v>
      </c>
      <c r="G105" s="142">
        <f t="shared" si="21"/>
        <v>44.5</v>
      </c>
      <c r="H105" s="142">
        <f t="shared" si="21"/>
        <v>44.5</v>
      </c>
      <c r="I105" s="142">
        <f t="shared" si="21"/>
        <v>44.5</v>
      </c>
      <c r="J105" s="142">
        <f t="shared" si="21"/>
        <v>44.5</v>
      </c>
      <c r="K105" s="587" t="s">
        <v>263</v>
      </c>
      <c r="L105" s="589" t="s">
        <v>236</v>
      </c>
      <c r="M105" s="589" t="s">
        <v>236</v>
      </c>
      <c r="N105" s="589" t="s">
        <v>236</v>
      </c>
      <c r="O105" s="589" t="s">
        <v>236</v>
      </c>
      <c r="P105" s="589" t="s">
        <v>236</v>
      </c>
      <c r="Q105" s="158"/>
    </row>
    <row r="106" spans="1:17" ht="26.25" customHeight="1" x14ac:dyDescent="0.2">
      <c r="A106" s="704"/>
      <c r="B106" s="704"/>
      <c r="C106" s="583"/>
      <c r="D106" s="150" t="s">
        <v>6</v>
      </c>
      <c r="E106" s="153">
        <f t="shared" si="20"/>
        <v>223.9</v>
      </c>
      <c r="F106" s="153">
        <v>45.9</v>
      </c>
      <c r="G106" s="153">
        <v>44.5</v>
      </c>
      <c r="H106" s="153">
        <v>44.5</v>
      </c>
      <c r="I106" s="153">
        <v>44.5</v>
      </c>
      <c r="J106" s="153">
        <v>44.5</v>
      </c>
      <c r="K106" s="630"/>
      <c r="L106" s="621"/>
      <c r="M106" s="621"/>
      <c r="N106" s="621"/>
      <c r="O106" s="621"/>
      <c r="P106" s="621"/>
      <c r="Q106" s="168" t="s">
        <v>205</v>
      </c>
    </row>
    <row r="107" spans="1:17" ht="36.75" hidden="1" customHeight="1" x14ac:dyDescent="0.2">
      <c r="A107" s="81"/>
      <c r="B107" s="80"/>
      <c r="C107" s="646"/>
      <c r="D107" s="150" t="s">
        <v>6</v>
      </c>
      <c r="E107" s="153">
        <f t="shared" si="20"/>
        <v>0</v>
      </c>
      <c r="F107" s="153">
        <v>0</v>
      </c>
      <c r="G107" s="153">
        <v>0</v>
      </c>
      <c r="H107" s="153">
        <v>0</v>
      </c>
      <c r="I107" s="153">
        <v>0</v>
      </c>
      <c r="J107" s="153">
        <v>0</v>
      </c>
      <c r="K107" s="69"/>
      <c r="L107" s="70"/>
      <c r="M107" s="70"/>
      <c r="N107" s="70"/>
      <c r="O107" s="70"/>
      <c r="P107" s="70"/>
      <c r="Q107" s="168"/>
    </row>
    <row r="108" spans="1:17" ht="23.1" customHeight="1" x14ac:dyDescent="0.2">
      <c r="A108" s="582" t="s">
        <v>105</v>
      </c>
      <c r="B108" s="584" t="s">
        <v>62</v>
      </c>
      <c r="C108" s="642" t="s">
        <v>161</v>
      </c>
      <c r="D108" s="119" t="s">
        <v>207</v>
      </c>
      <c r="E108" s="144">
        <f t="shared" ref="E108:J108" si="22">E109</f>
        <v>220821</v>
      </c>
      <c r="F108" s="144">
        <f t="shared" si="22"/>
        <v>42323.1</v>
      </c>
      <c r="G108" s="144">
        <f t="shared" si="22"/>
        <v>45016</v>
      </c>
      <c r="H108" s="144">
        <f t="shared" si="22"/>
        <v>42805.3</v>
      </c>
      <c r="I108" s="144">
        <f t="shared" si="22"/>
        <v>45338.3</v>
      </c>
      <c r="J108" s="144">
        <f t="shared" si="22"/>
        <v>45338.3</v>
      </c>
      <c r="K108" s="587" t="s">
        <v>263</v>
      </c>
      <c r="L108" s="589" t="s">
        <v>236</v>
      </c>
      <c r="M108" s="589" t="s">
        <v>236</v>
      </c>
      <c r="N108" s="589" t="s">
        <v>236</v>
      </c>
      <c r="O108" s="589" t="s">
        <v>236</v>
      </c>
      <c r="P108" s="589" t="s">
        <v>236</v>
      </c>
      <c r="Q108" s="168"/>
    </row>
    <row r="109" spans="1:17" ht="16.5" customHeight="1" x14ac:dyDescent="0.2">
      <c r="A109" s="704"/>
      <c r="B109" s="704"/>
      <c r="C109" s="646"/>
      <c r="D109" s="150" t="s">
        <v>6</v>
      </c>
      <c r="E109" s="152">
        <f t="shared" si="20"/>
        <v>220821</v>
      </c>
      <c r="F109" s="152">
        <v>42323.1</v>
      </c>
      <c r="G109" s="152">
        <v>45016</v>
      </c>
      <c r="H109" s="152">
        <v>42805.3</v>
      </c>
      <c r="I109" s="152">
        <v>45338.3</v>
      </c>
      <c r="J109" s="152">
        <v>45338.3</v>
      </c>
      <c r="K109" s="630"/>
      <c r="L109" s="664"/>
      <c r="M109" s="664"/>
      <c r="N109" s="664"/>
      <c r="O109" s="664"/>
      <c r="P109" s="664"/>
      <c r="Q109" s="168" t="s">
        <v>99</v>
      </c>
    </row>
    <row r="110" spans="1:17" ht="26.45" customHeight="1" x14ac:dyDescent="0.2">
      <c r="A110" s="582" t="s">
        <v>106</v>
      </c>
      <c r="B110" s="584" t="s">
        <v>65</v>
      </c>
      <c r="C110" s="642" t="s">
        <v>42</v>
      </c>
      <c r="D110" s="119" t="s">
        <v>207</v>
      </c>
      <c r="E110" s="144">
        <f t="shared" ref="E110:J110" si="23">E111</f>
        <v>8958.2000000000007</v>
      </c>
      <c r="F110" s="144">
        <f t="shared" si="23"/>
        <v>1837.8</v>
      </c>
      <c r="G110" s="144">
        <f t="shared" si="23"/>
        <v>1780.1</v>
      </c>
      <c r="H110" s="144">
        <f t="shared" si="23"/>
        <v>1780.1</v>
      </c>
      <c r="I110" s="144">
        <f t="shared" si="23"/>
        <v>1780.1</v>
      </c>
      <c r="J110" s="144">
        <f t="shared" si="23"/>
        <v>1780.1</v>
      </c>
      <c r="K110" s="587" t="s">
        <v>263</v>
      </c>
      <c r="L110" s="589" t="s">
        <v>236</v>
      </c>
      <c r="M110" s="589" t="s">
        <v>236</v>
      </c>
      <c r="N110" s="589" t="s">
        <v>236</v>
      </c>
      <c r="O110" s="589" t="s">
        <v>236</v>
      </c>
      <c r="P110" s="589" t="s">
        <v>236</v>
      </c>
      <c r="Q110" s="168"/>
    </row>
    <row r="111" spans="1:17" ht="44.45" customHeight="1" x14ac:dyDescent="0.2">
      <c r="A111" s="707"/>
      <c r="B111" s="707"/>
      <c r="C111" s="583"/>
      <c r="D111" s="150" t="s">
        <v>6</v>
      </c>
      <c r="E111" s="153">
        <f t="shared" si="20"/>
        <v>8958.2000000000007</v>
      </c>
      <c r="F111" s="153">
        <v>1837.8</v>
      </c>
      <c r="G111" s="153">
        <v>1780.1</v>
      </c>
      <c r="H111" s="153">
        <v>1780.1</v>
      </c>
      <c r="I111" s="153">
        <v>1780.1</v>
      </c>
      <c r="J111" s="153">
        <v>1780.1</v>
      </c>
      <c r="K111" s="629"/>
      <c r="L111" s="870"/>
      <c r="M111" s="870"/>
      <c r="N111" s="870"/>
      <c r="O111" s="870"/>
      <c r="P111" s="870"/>
      <c r="Q111" s="168" t="s">
        <v>160</v>
      </c>
    </row>
    <row r="112" spans="1:17" ht="34.5" hidden="1" customHeight="1" x14ac:dyDescent="0.2">
      <c r="A112" s="704"/>
      <c r="B112" s="704"/>
      <c r="C112" s="646"/>
      <c r="D112" s="77" t="s">
        <v>6</v>
      </c>
      <c r="E112" s="78">
        <f t="shared" si="20"/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630"/>
      <c r="L112" s="871"/>
      <c r="M112" s="871"/>
      <c r="N112" s="871"/>
      <c r="O112" s="871"/>
      <c r="P112" s="871"/>
      <c r="Q112" s="168"/>
    </row>
    <row r="113" spans="1:17" ht="30" customHeight="1" x14ac:dyDescent="0.2">
      <c r="A113" s="582" t="s">
        <v>107</v>
      </c>
      <c r="B113" s="584" t="s">
        <v>59</v>
      </c>
      <c r="C113" s="642" t="s">
        <v>161</v>
      </c>
      <c r="D113" s="647" t="s">
        <v>216</v>
      </c>
      <c r="E113" s="649">
        <f t="shared" ref="E113:J113" si="24">SUM(E120:E122)</f>
        <v>356639.5</v>
      </c>
      <c r="F113" s="649">
        <f t="shared" si="24"/>
        <v>70964.800000000003</v>
      </c>
      <c r="G113" s="649">
        <f t="shared" si="24"/>
        <v>65711.8</v>
      </c>
      <c r="H113" s="649">
        <f t="shared" si="24"/>
        <v>69306.100000000006</v>
      </c>
      <c r="I113" s="649">
        <f t="shared" si="24"/>
        <v>75328.399999999994</v>
      </c>
      <c r="J113" s="649">
        <f t="shared" si="24"/>
        <v>75328.399999999994</v>
      </c>
      <c r="K113" s="587" t="s">
        <v>50</v>
      </c>
      <c r="L113" s="589" t="s">
        <v>266</v>
      </c>
      <c r="M113" s="589" t="s">
        <v>266</v>
      </c>
      <c r="N113" s="589" t="s">
        <v>266</v>
      </c>
      <c r="O113" s="589" t="s">
        <v>266</v>
      </c>
      <c r="P113" s="589" t="s">
        <v>266</v>
      </c>
      <c r="Q113" s="582" t="s">
        <v>51</v>
      </c>
    </row>
    <row r="114" spans="1:17" ht="5.45" customHeight="1" x14ac:dyDescent="0.2">
      <c r="A114" s="661"/>
      <c r="B114" s="644"/>
      <c r="C114" s="677"/>
      <c r="D114" s="648"/>
      <c r="E114" s="650"/>
      <c r="F114" s="650"/>
      <c r="G114" s="650"/>
      <c r="H114" s="650"/>
      <c r="I114" s="650"/>
      <c r="J114" s="650"/>
      <c r="K114" s="873"/>
      <c r="L114" s="866"/>
      <c r="M114" s="866"/>
      <c r="N114" s="866"/>
      <c r="O114" s="866"/>
      <c r="P114" s="866"/>
      <c r="Q114" s="661"/>
    </row>
    <row r="115" spans="1:17" ht="15" customHeight="1" x14ac:dyDescent="0.2">
      <c r="A115" s="661"/>
      <c r="B115" s="644"/>
      <c r="C115" s="677"/>
      <c r="D115" s="648"/>
      <c r="E115" s="650"/>
      <c r="F115" s="650"/>
      <c r="G115" s="650"/>
      <c r="H115" s="650"/>
      <c r="I115" s="650"/>
      <c r="J115" s="650"/>
      <c r="K115" s="873"/>
      <c r="L115" s="866"/>
      <c r="M115" s="866"/>
      <c r="N115" s="866"/>
      <c r="O115" s="866"/>
      <c r="P115" s="866"/>
      <c r="Q115" s="661"/>
    </row>
    <row r="116" spans="1:17" ht="5.0999999999999996" customHeight="1" x14ac:dyDescent="0.2">
      <c r="A116" s="661"/>
      <c r="B116" s="644"/>
      <c r="C116" s="677"/>
      <c r="D116" s="872"/>
      <c r="E116" s="651"/>
      <c r="F116" s="651"/>
      <c r="G116" s="651"/>
      <c r="H116" s="651"/>
      <c r="I116" s="651"/>
      <c r="J116" s="651"/>
      <c r="K116" s="873"/>
      <c r="L116" s="866"/>
      <c r="M116" s="866"/>
      <c r="N116" s="866"/>
      <c r="O116" s="866"/>
      <c r="P116" s="866"/>
      <c r="Q116" s="661"/>
    </row>
    <row r="117" spans="1:17" ht="15" customHeight="1" x14ac:dyDescent="0.2">
      <c r="A117" s="653"/>
      <c r="B117" s="655"/>
      <c r="C117" s="583"/>
      <c r="D117" s="150" t="s">
        <v>5</v>
      </c>
      <c r="E117" s="153">
        <f t="shared" ref="E117:J117" si="25">E119</f>
        <v>44544.2</v>
      </c>
      <c r="F117" s="153">
        <f t="shared" si="25"/>
        <v>11383.4</v>
      </c>
      <c r="G117" s="153">
        <f t="shared" si="25"/>
        <v>8725.2000000000007</v>
      </c>
      <c r="H117" s="153">
        <f t="shared" si="25"/>
        <v>7145.2</v>
      </c>
      <c r="I117" s="153">
        <f t="shared" si="25"/>
        <v>8645.2000000000007</v>
      </c>
      <c r="J117" s="153">
        <f t="shared" si="25"/>
        <v>8645.2000000000007</v>
      </c>
      <c r="K117" s="629"/>
      <c r="L117" s="870"/>
      <c r="M117" s="870"/>
      <c r="N117" s="870"/>
      <c r="O117" s="870"/>
      <c r="P117" s="870"/>
      <c r="Q117" s="653"/>
    </row>
    <row r="118" spans="1:17" ht="15" customHeight="1" x14ac:dyDescent="0.2">
      <c r="A118" s="654"/>
      <c r="B118" s="645"/>
      <c r="C118" s="646"/>
      <c r="D118" s="150" t="s">
        <v>6</v>
      </c>
      <c r="E118" s="153">
        <f t="shared" ref="E118:J118" si="26">E122</f>
        <v>312095.3</v>
      </c>
      <c r="F118" s="153">
        <f t="shared" si="26"/>
        <v>59581.4</v>
      </c>
      <c r="G118" s="153">
        <f t="shared" si="26"/>
        <v>56986.6</v>
      </c>
      <c r="H118" s="153">
        <f t="shared" si="26"/>
        <v>62160.9</v>
      </c>
      <c r="I118" s="153">
        <f t="shared" si="26"/>
        <v>66683.199999999997</v>
      </c>
      <c r="J118" s="153">
        <f t="shared" si="26"/>
        <v>66683.199999999997</v>
      </c>
      <c r="K118" s="630"/>
      <c r="L118" s="871"/>
      <c r="M118" s="871"/>
      <c r="N118" s="871"/>
      <c r="O118" s="871"/>
      <c r="P118" s="871"/>
      <c r="Q118" s="654"/>
    </row>
    <row r="119" spans="1:17" ht="21.6" customHeight="1" x14ac:dyDescent="0.2">
      <c r="A119" s="582" t="s">
        <v>96</v>
      </c>
      <c r="B119" s="584" t="s">
        <v>110</v>
      </c>
      <c r="C119" s="642" t="s">
        <v>161</v>
      </c>
      <c r="D119" s="119" t="s">
        <v>222</v>
      </c>
      <c r="E119" s="142">
        <f t="shared" ref="E119:J119" si="27">E120</f>
        <v>44544.2</v>
      </c>
      <c r="F119" s="142">
        <f t="shared" si="27"/>
        <v>11383.4</v>
      </c>
      <c r="G119" s="142">
        <f t="shared" si="27"/>
        <v>8725.2000000000007</v>
      </c>
      <c r="H119" s="142">
        <f t="shared" si="27"/>
        <v>7145.2</v>
      </c>
      <c r="I119" s="142">
        <f t="shared" si="27"/>
        <v>8645.2000000000007</v>
      </c>
      <c r="J119" s="142">
        <f t="shared" si="27"/>
        <v>8645.2000000000007</v>
      </c>
      <c r="K119" s="587" t="s">
        <v>267</v>
      </c>
      <c r="L119" s="589" t="s">
        <v>236</v>
      </c>
      <c r="M119" s="589" t="s">
        <v>236</v>
      </c>
      <c r="N119" s="589" t="s">
        <v>236</v>
      </c>
      <c r="O119" s="589" t="s">
        <v>236</v>
      </c>
      <c r="P119" s="589" t="s">
        <v>236</v>
      </c>
      <c r="Q119" s="589" t="s">
        <v>51</v>
      </c>
    </row>
    <row r="120" spans="1:17" ht="14.25" customHeight="1" x14ac:dyDescent="0.2">
      <c r="A120" s="653"/>
      <c r="B120" s="655"/>
      <c r="C120" s="583"/>
      <c r="D120" s="603" t="s">
        <v>5</v>
      </c>
      <c r="E120" s="605">
        <f>SUM(F120:J121)</f>
        <v>44544.2</v>
      </c>
      <c r="F120" s="605">
        <v>11383.4</v>
      </c>
      <c r="G120" s="605">
        <f>8645.2+80</f>
        <v>8725.2000000000007</v>
      </c>
      <c r="H120" s="605">
        <v>7145.2</v>
      </c>
      <c r="I120" s="605">
        <v>8645.2000000000007</v>
      </c>
      <c r="J120" s="605">
        <v>8645.2000000000007</v>
      </c>
      <c r="K120" s="629"/>
      <c r="L120" s="870"/>
      <c r="M120" s="870"/>
      <c r="N120" s="870"/>
      <c r="O120" s="870"/>
      <c r="P120" s="870"/>
      <c r="Q120" s="620"/>
    </row>
    <row r="121" spans="1:17" ht="14.25" customHeight="1" x14ac:dyDescent="0.2">
      <c r="A121" s="654"/>
      <c r="B121" s="645"/>
      <c r="C121" s="646"/>
      <c r="D121" s="604"/>
      <c r="E121" s="606"/>
      <c r="F121" s="606"/>
      <c r="G121" s="606"/>
      <c r="H121" s="606"/>
      <c r="I121" s="606"/>
      <c r="J121" s="606"/>
      <c r="K121" s="630"/>
      <c r="L121" s="871"/>
      <c r="M121" s="871"/>
      <c r="N121" s="871"/>
      <c r="O121" s="871"/>
      <c r="P121" s="871"/>
      <c r="Q121" s="621"/>
    </row>
    <row r="122" spans="1:17" ht="24" customHeight="1" x14ac:dyDescent="0.2">
      <c r="A122" s="582" t="s">
        <v>97</v>
      </c>
      <c r="B122" s="584" t="s">
        <v>108</v>
      </c>
      <c r="C122" s="642" t="s">
        <v>161</v>
      </c>
      <c r="D122" s="119" t="s">
        <v>265</v>
      </c>
      <c r="E122" s="34">
        <f>SUM(F122:J122)</f>
        <v>312095.3</v>
      </c>
      <c r="F122" s="34">
        <f>SUM(F124:F127)</f>
        <v>59581.4</v>
      </c>
      <c r="G122" s="34">
        <f>SUM(G124:G128)</f>
        <v>56986.6</v>
      </c>
      <c r="H122" s="34">
        <f>SUM(H124:H128)</f>
        <v>62160.9</v>
      </c>
      <c r="I122" s="34">
        <f>SUM(I124:I128)</f>
        <v>66683.199999999997</v>
      </c>
      <c r="J122" s="34">
        <f>SUM(J124:J128)</f>
        <v>66683.199999999997</v>
      </c>
      <c r="K122" s="622"/>
      <c r="L122" s="656"/>
      <c r="M122" s="656"/>
      <c r="N122" s="656"/>
      <c r="O122" s="656"/>
      <c r="P122" s="656"/>
      <c r="Q122" s="589"/>
    </row>
    <row r="123" spans="1:17" ht="24" customHeight="1" x14ac:dyDescent="0.2">
      <c r="A123" s="654"/>
      <c r="B123" s="645"/>
      <c r="C123" s="646"/>
      <c r="D123" s="145" t="s">
        <v>6</v>
      </c>
      <c r="E123" s="141">
        <f t="shared" ref="E123:J123" si="28">E122</f>
        <v>312095.3</v>
      </c>
      <c r="F123" s="141">
        <f t="shared" si="28"/>
        <v>59581.4</v>
      </c>
      <c r="G123" s="141">
        <f t="shared" si="28"/>
        <v>56986.6</v>
      </c>
      <c r="H123" s="141">
        <f t="shared" si="28"/>
        <v>62160.9</v>
      </c>
      <c r="I123" s="141">
        <f t="shared" si="28"/>
        <v>66683.199999999997</v>
      </c>
      <c r="J123" s="141">
        <f t="shared" si="28"/>
        <v>66683.199999999997</v>
      </c>
      <c r="K123" s="580"/>
      <c r="L123" s="657"/>
      <c r="M123" s="657"/>
      <c r="N123" s="657"/>
      <c r="O123" s="657"/>
      <c r="P123" s="657"/>
      <c r="Q123" s="621"/>
    </row>
    <row r="124" spans="1:17" ht="26.25" customHeight="1" x14ac:dyDescent="0.2">
      <c r="A124" s="582" t="s">
        <v>112</v>
      </c>
      <c r="B124" s="584" t="s">
        <v>62</v>
      </c>
      <c r="C124" s="613" t="s">
        <v>161</v>
      </c>
      <c r="D124" s="603" t="s">
        <v>6</v>
      </c>
      <c r="E124" s="610">
        <f>SUM(F124:J125)</f>
        <v>310796.10000000003</v>
      </c>
      <c r="F124" s="610">
        <f>62197.9-3100.2</f>
        <v>59097.700000000004</v>
      </c>
      <c r="G124" s="610">
        <f>60023.4-3252.3</f>
        <v>56771.1</v>
      </c>
      <c r="H124" s="610">
        <v>61960.9</v>
      </c>
      <c r="I124" s="610">
        <v>66483.199999999997</v>
      </c>
      <c r="J124" s="610">
        <v>66483.199999999997</v>
      </c>
      <c r="K124" s="622" t="s">
        <v>263</v>
      </c>
      <c r="L124" s="623" t="s">
        <v>236</v>
      </c>
      <c r="M124" s="623" t="s">
        <v>236</v>
      </c>
      <c r="N124" s="623" t="s">
        <v>236</v>
      </c>
      <c r="O124" s="623" t="s">
        <v>236</v>
      </c>
      <c r="P124" s="623" t="s">
        <v>236</v>
      </c>
      <c r="Q124" s="589" t="s">
        <v>51</v>
      </c>
    </row>
    <row r="125" spans="1:17" ht="21" customHeight="1" x14ac:dyDescent="0.2">
      <c r="A125" s="661"/>
      <c r="B125" s="644"/>
      <c r="C125" s="613"/>
      <c r="D125" s="625"/>
      <c r="E125" s="610"/>
      <c r="F125" s="610"/>
      <c r="G125" s="610"/>
      <c r="H125" s="610"/>
      <c r="I125" s="610"/>
      <c r="J125" s="610"/>
      <c r="K125" s="580"/>
      <c r="L125" s="874"/>
      <c r="M125" s="874"/>
      <c r="N125" s="874"/>
      <c r="O125" s="874"/>
      <c r="P125" s="874"/>
      <c r="Q125" s="866"/>
    </row>
    <row r="126" spans="1:17" ht="24.75" customHeight="1" x14ac:dyDescent="0.2">
      <c r="A126" s="638" t="s">
        <v>111</v>
      </c>
      <c r="B126" s="617" t="s">
        <v>61</v>
      </c>
      <c r="C126" s="613" t="s">
        <v>161</v>
      </c>
      <c r="D126" s="603" t="s">
        <v>6</v>
      </c>
      <c r="E126" s="610">
        <f>SUM(F126:J127)</f>
        <v>483.7</v>
      </c>
      <c r="F126" s="610">
        <v>483.7</v>
      </c>
      <c r="G126" s="610">
        <v>0</v>
      </c>
      <c r="H126" s="610">
        <v>0</v>
      </c>
      <c r="I126" s="610">
        <v>0</v>
      </c>
      <c r="J126" s="610">
        <v>0</v>
      </c>
      <c r="K126" s="622" t="s">
        <v>263</v>
      </c>
      <c r="L126" s="623" t="s">
        <v>236</v>
      </c>
      <c r="M126" s="623" t="s">
        <v>213</v>
      </c>
      <c r="N126" s="623" t="s">
        <v>213</v>
      </c>
      <c r="O126" s="623" t="s">
        <v>213</v>
      </c>
      <c r="P126" s="623" t="s">
        <v>213</v>
      </c>
      <c r="Q126" s="623" t="s">
        <v>51</v>
      </c>
    </row>
    <row r="127" spans="1:17" ht="13.5" customHeight="1" x14ac:dyDescent="0.2">
      <c r="A127" s="638"/>
      <c r="B127" s="617"/>
      <c r="C127" s="613"/>
      <c r="D127" s="604"/>
      <c r="E127" s="611"/>
      <c r="F127" s="611"/>
      <c r="G127" s="611"/>
      <c r="H127" s="611"/>
      <c r="I127" s="611"/>
      <c r="J127" s="611"/>
      <c r="K127" s="580"/>
      <c r="L127" s="874"/>
      <c r="M127" s="874"/>
      <c r="N127" s="874"/>
      <c r="O127" s="874"/>
      <c r="P127" s="874"/>
      <c r="Q127" s="623"/>
    </row>
    <row r="128" spans="1:17" ht="39.75" customHeight="1" x14ac:dyDescent="0.2">
      <c r="A128" s="168" t="s">
        <v>271</v>
      </c>
      <c r="B128" s="172" t="s">
        <v>67</v>
      </c>
      <c r="C128" s="178" t="s">
        <v>272</v>
      </c>
      <c r="D128" s="160" t="s">
        <v>6</v>
      </c>
      <c r="E128" s="156">
        <f>F128+G128+H128+I128+J128</f>
        <v>815.5</v>
      </c>
      <c r="F128" s="156">
        <v>0</v>
      </c>
      <c r="G128" s="156">
        <v>215.5</v>
      </c>
      <c r="H128" s="156">
        <v>200</v>
      </c>
      <c r="I128" s="156">
        <v>200</v>
      </c>
      <c r="J128" s="156">
        <v>200</v>
      </c>
      <c r="K128" s="175" t="s">
        <v>264</v>
      </c>
      <c r="L128" s="155" t="s">
        <v>213</v>
      </c>
      <c r="M128" s="155" t="s">
        <v>236</v>
      </c>
      <c r="N128" s="155" t="s">
        <v>236</v>
      </c>
      <c r="O128" s="155" t="s">
        <v>236</v>
      </c>
      <c r="P128" s="155" t="s">
        <v>236</v>
      </c>
      <c r="Q128" s="149" t="s">
        <v>51</v>
      </c>
    </row>
    <row r="129" spans="1:17" ht="24" customHeight="1" x14ac:dyDescent="0.2">
      <c r="A129" s="582" t="s">
        <v>113</v>
      </c>
      <c r="B129" s="584" t="s">
        <v>60</v>
      </c>
      <c r="C129" s="642" t="s">
        <v>161</v>
      </c>
      <c r="D129" s="671" t="s">
        <v>249</v>
      </c>
      <c r="E129" s="875">
        <f>SUM(F129:J131)</f>
        <v>56647.7</v>
      </c>
      <c r="F129" s="649">
        <f>F132+F133</f>
        <v>13374.299999999997</v>
      </c>
      <c r="G129" s="649">
        <f>G132+G133</f>
        <v>11099.699999999999</v>
      </c>
      <c r="H129" s="649">
        <f>H132+H133</f>
        <v>9657.9</v>
      </c>
      <c r="I129" s="649">
        <f>I132+I133</f>
        <v>11257.9</v>
      </c>
      <c r="J129" s="649">
        <f>J132+J133</f>
        <v>11257.9</v>
      </c>
      <c r="K129" s="584" t="s">
        <v>268</v>
      </c>
      <c r="L129" s="876" t="s">
        <v>269</v>
      </c>
      <c r="M129" s="876" t="s">
        <v>269</v>
      </c>
      <c r="N129" s="876" t="s">
        <v>270</v>
      </c>
      <c r="O129" s="876" t="s">
        <v>270</v>
      </c>
      <c r="P129" s="876" t="s">
        <v>270</v>
      </c>
      <c r="Q129" s="582"/>
    </row>
    <row r="130" spans="1:17" ht="24" customHeight="1" x14ac:dyDescent="0.2">
      <c r="A130" s="661"/>
      <c r="B130" s="644"/>
      <c r="C130" s="677"/>
      <c r="D130" s="672"/>
      <c r="E130" s="853"/>
      <c r="F130" s="650"/>
      <c r="G130" s="650"/>
      <c r="H130" s="650"/>
      <c r="I130" s="650"/>
      <c r="J130" s="650"/>
      <c r="K130" s="644"/>
      <c r="L130" s="877"/>
      <c r="M130" s="877"/>
      <c r="N130" s="877"/>
      <c r="O130" s="877"/>
      <c r="P130" s="877"/>
      <c r="Q130" s="661"/>
    </row>
    <row r="131" spans="1:17" ht="9.75" customHeight="1" x14ac:dyDescent="0.2">
      <c r="A131" s="661"/>
      <c r="B131" s="644"/>
      <c r="C131" s="677"/>
      <c r="D131" s="673"/>
      <c r="E131" s="853"/>
      <c r="F131" s="650"/>
      <c r="G131" s="650"/>
      <c r="H131" s="650"/>
      <c r="I131" s="650"/>
      <c r="J131" s="650"/>
      <c r="K131" s="644"/>
      <c r="L131" s="877"/>
      <c r="M131" s="877"/>
      <c r="N131" s="877"/>
      <c r="O131" s="877"/>
      <c r="P131" s="877"/>
      <c r="Q131" s="661"/>
    </row>
    <row r="132" spans="1:17" ht="9.75" customHeight="1" x14ac:dyDescent="0.2">
      <c r="A132" s="653"/>
      <c r="B132" s="655"/>
      <c r="C132" s="583"/>
      <c r="D132" s="150" t="s">
        <v>5</v>
      </c>
      <c r="E132" s="147">
        <f t="shared" ref="E132:J132" si="29">E135</f>
        <v>48549.599999999991</v>
      </c>
      <c r="F132" s="147">
        <f t="shared" si="29"/>
        <v>11842.399999999998</v>
      </c>
      <c r="G132" s="147">
        <f t="shared" si="29"/>
        <v>9551.7999999999993</v>
      </c>
      <c r="H132" s="147">
        <f t="shared" si="29"/>
        <v>8051.8</v>
      </c>
      <c r="I132" s="147">
        <f t="shared" si="29"/>
        <v>9551.7999999999993</v>
      </c>
      <c r="J132" s="147">
        <f t="shared" si="29"/>
        <v>9551.7999999999993</v>
      </c>
      <c r="K132" s="655"/>
      <c r="L132" s="877"/>
      <c r="M132" s="877"/>
      <c r="N132" s="877"/>
      <c r="O132" s="877"/>
      <c r="P132" s="877"/>
      <c r="Q132" s="653"/>
    </row>
    <row r="133" spans="1:17" ht="9.75" customHeight="1" x14ac:dyDescent="0.2">
      <c r="A133" s="654"/>
      <c r="B133" s="645"/>
      <c r="C133" s="646"/>
      <c r="D133" s="150" t="s">
        <v>6</v>
      </c>
      <c r="E133" s="147">
        <f t="shared" ref="E133:J133" si="30">E138</f>
        <v>8098.1</v>
      </c>
      <c r="F133" s="147">
        <f t="shared" si="30"/>
        <v>1531.9</v>
      </c>
      <c r="G133" s="147">
        <f t="shared" si="30"/>
        <v>1547.9</v>
      </c>
      <c r="H133" s="147">
        <f t="shared" si="30"/>
        <v>1606.1</v>
      </c>
      <c r="I133" s="147">
        <f t="shared" si="30"/>
        <v>1706.1</v>
      </c>
      <c r="J133" s="147">
        <f t="shared" si="30"/>
        <v>1706.1</v>
      </c>
      <c r="K133" s="645"/>
      <c r="L133" s="878"/>
      <c r="M133" s="878"/>
      <c r="N133" s="878"/>
      <c r="O133" s="878"/>
      <c r="P133" s="878"/>
      <c r="Q133" s="654"/>
    </row>
    <row r="134" spans="1:17" ht="24.6" customHeight="1" x14ac:dyDescent="0.2">
      <c r="A134" s="582" t="s">
        <v>98</v>
      </c>
      <c r="B134" s="584" t="s">
        <v>114</v>
      </c>
      <c r="C134" s="642" t="s">
        <v>161</v>
      </c>
      <c r="D134" s="119" t="s">
        <v>265</v>
      </c>
      <c r="E134" s="157">
        <f t="shared" ref="E134:J134" si="31">E135</f>
        <v>48549.599999999991</v>
      </c>
      <c r="F134" s="157">
        <f t="shared" si="31"/>
        <v>11842.399999999998</v>
      </c>
      <c r="G134" s="157">
        <f t="shared" si="31"/>
        <v>9551.7999999999993</v>
      </c>
      <c r="H134" s="157">
        <f t="shared" si="31"/>
        <v>8051.8</v>
      </c>
      <c r="I134" s="157">
        <f t="shared" si="31"/>
        <v>9551.7999999999993</v>
      </c>
      <c r="J134" s="157">
        <f t="shared" si="31"/>
        <v>9551.7999999999993</v>
      </c>
      <c r="K134" s="622" t="s">
        <v>267</v>
      </c>
      <c r="L134" s="876" t="s">
        <v>236</v>
      </c>
      <c r="M134" s="876" t="s">
        <v>236</v>
      </c>
      <c r="N134" s="876" t="s">
        <v>236</v>
      </c>
      <c r="O134" s="876" t="s">
        <v>236</v>
      </c>
      <c r="P134" s="876" t="s">
        <v>236</v>
      </c>
      <c r="Q134" s="623" t="s">
        <v>142</v>
      </c>
    </row>
    <row r="135" spans="1:17" ht="21" customHeight="1" x14ac:dyDescent="0.2">
      <c r="A135" s="653"/>
      <c r="B135" s="655"/>
      <c r="C135" s="583"/>
      <c r="D135" s="603" t="s">
        <v>5</v>
      </c>
      <c r="E135" s="610">
        <f>SUM(F135:J136)</f>
        <v>48549.599999999991</v>
      </c>
      <c r="F135" s="605">
        <f>10904.3-89.1-29.7+1056.9</f>
        <v>11842.399999999998</v>
      </c>
      <c r="G135" s="605">
        <v>9551.7999999999993</v>
      </c>
      <c r="H135" s="605">
        <v>8051.8</v>
      </c>
      <c r="I135" s="605">
        <v>9551.7999999999993</v>
      </c>
      <c r="J135" s="605">
        <v>9551.7999999999993</v>
      </c>
      <c r="K135" s="618"/>
      <c r="L135" s="877"/>
      <c r="M135" s="877"/>
      <c r="N135" s="877"/>
      <c r="O135" s="877"/>
      <c r="P135" s="877"/>
      <c r="Q135" s="657"/>
    </row>
    <row r="136" spans="1:17" ht="5.25" customHeight="1" x14ac:dyDescent="0.2">
      <c r="A136" s="654"/>
      <c r="B136" s="645"/>
      <c r="C136" s="646"/>
      <c r="D136" s="604"/>
      <c r="E136" s="611"/>
      <c r="F136" s="606"/>
      <c r="G136" s="606"/>
      <c r="H136" s="606"/>
      <c r="I136" s="606"/>
      <c r="J136" s="606"/>
      <c r="K136" s="618"/>
      <c r="L136" s="878"/>
      <c r="M136" s="878"/>
      <c r="N136" s="878"/>
      <c r="O136" s="878"/>
      <c r="P136" s="878"/>
      <c r="Q136" s="657"/>
    </row>
    <row r="137" spans="1:17" ht="26.1" customHeight="1" x14ac:dyDescent="0.2">
      <c r="A137" s="638" t="s">
        <v>115</v>
      </c>
      <c r="B137" s="617" t="s">
        <v>67</v>
      </c>
      <c r="C137" s="642" t="s">
        <v>161</v>
      </c>
      <c r="D137" s="119" t="s">
        <v>265</v>
      </c>
      <c r="E137" s="171">
        <f t="shared" ref="E137:J137" si="32">E138</f>
        <v>8098.1</v>
      </c>
      <c r="F137" s="171">
        <f t="shared" si="32"/>
        <v>1531.9</v>
      </c>
      <c r="G137" s="171">
        <f t="shared" si="32"/>
        <v>1547.9</v>
      </c>
      <c r="H137" s="171">
        <f t="shared" si="32"/>
        <v>1606.1</v>
      </c>
      <c r="I137" s="171">
        <f t="shared" si="32"/>
        <v>1706.1</v>
      </c>
      <c r="J137" s="171">
        <f t="shared" si="32"/>
        <v>1706.1</v>
      </c>
      <c r="K137" s="587" t="s">
        <v>264</v>
      </c>
      <c r="L137" s="589" t="s">
        <v>236</v>
      </c>
      <c r="M137" s="589" t="s">
        <v>236</v>
      </c>
      <c r="N137" s="589" t="s">
        <v>236</v>
      </c>
      <c r="O137" s="589" t="s">
        <v>236</v>
      </c>
      <c r="P137" s="589" t="s">
        <v>236</v>
      </c>
      <c r="Q137" s="589" t="s">
        <v>142</v>
      </c>
    </row>
    <row r="138" spans="1:17" ht="17.100000000000001" customHeight="1" x14ac:dyDescent="0.2">
      <c r="A138" s="652"/>
      <c r="B138" s="882"/>
      <c r="C138" s="583"/>
      <c r="D138" s="603" t="s">
        <v>6</v>
      </c>
      <c r="E138" s="559">
        <f>SUM(F138:J141)</f>
        <v>8098.1</v>
      </c>
      <c r="F138" s="559">
        <v>1531.9</v>
      </c>
      <c r="G138" s="559">
        <v>1547.9</v>
      </c>
      <c r="H138" s="559">
        <v>1606.1</v>
      </c>
      <c r="I138" s="559">
        <v>1706.1</v>
      </c>
      <c r="J138" s="559">
        <v>1706.1</v>
      </c>
      <c r="K138" s="629"/>
      <c r="L138" s="879"/>
      <c r="M138" s="879"/>
      <c r="N138" s="879"/>
      <c r="O138" s="879"/>
      <c r="P138" s="879"/>
      <c r="Q138" s="620"/>
    </row>
    <row r="139" spans="1:17" ht="11.45" customHeight="1" x14ac:dyDescent="0.2">
      <c r="A139" s="652"/>
      <c r="B139" s="882"/>
      <c r="C139" s="583"/>
      <c r="D139" s="590"/>
      <c r="E139" s="559"/>
      <c r="F139" s="559"/>
      <c r="G139" s="559"/>
      <c r="H139" s="559"/>
      <c r="I139" s="559"/>
      <c r="J139" s="559"/>
      <c r="K139" s="629"/>
      <c r="L139" s="879"/>
      <c r="M139" s="879"/>
      <c r="N139" s="879"/>
      <c r="O139" s="879"/>
      <c r="P139" s="879"/>
      <c r="Q139" s="620"/>
    </row>
    <row r="140" spans="1:17" ht="10.5" customHeight="1" x14ac:dyDescent="0.2">
      <c r="A140" s="652"/>
      <c r="B140" s="882"/>
      <c r="C140" s="583"/>
      <c r="D140" s="590"/>
      <c r="E140" s="559"/>
      <c r="F140" s="559"/>
      <c r="G140" s="559"/>
      <c r="H140" s="559"/>
      <c r="I140" s="559"/>
      <c r="J140" s="559"/>
      <c r="K140" s="629"/>
      <c r="L140" s="879"/>
      <c r="M140" s="879"/>
      <c r="N140" s="879"/>
      <c r="O140" s="879"/>
      <c r="P140" s="879"/>
      <c r="Q140" s="620"/>
    </row>
    <row r="141" spans="1:17" ht="13.35" hidden="1" customHeight="1" x14ac:dyDescent="0.2">
      <c r="A141" s="652"/>
      <c r="B141" s="882"/>
      <c r="C141" s="583"/>
      <c r="D141" s="670"/>
      <c r="E141" s="559"/>
      <c r="F141" s="559"/>
      <c r="G141" s="559"/>
      <c r="H141" s="559"/>
      <c r="I141" s="559"/>
      <c r="J141" s="559"/>
      <c r="K141" s="630"/>
      <c r="L141" s="880"/>
      <c r="M141" s="880"/>
      <c r="N141" s="880"/>
      <c r="O141" s="880"/>
      <c r="P141" s="880"/>
      <c r="Q141" s="621"/>
    </row>
    <row r="142" spans="1:17" ht="12" customHeight="1" x14ac:dyDescent="0.2">
      <c r="A142" s="612"/>
      <c r="B142" s="581" t="s">
        <v>49</v>
      </c>
      <c r="C142" s="612"/>
      <c r="D142" s="33" t="s">
        <v>11</v>
      </c>
      <c r="E142" s="578">
        <f t="shared" ref="E142:J142" si="33">SUM(E144:E145)</f>
        <v>773573.9</v>
      </c>
      <c r="F142" s="578">
        <f t="shared" si="33"/>
        <v>159427.1</v>
      </c>
      <c r="G142" s="578">
        <f t="shared" si="33"/>
        <v>147878.20000000001</v>
      </c>
      <c r="H142" s="578">
        <f t="shared" si="33"/>
        <v>146586</v>
      </c>
      <c r="I142" s="578">
        <f t="shared" si="33"/>
        <v>159841.30000000002</v>
      </c>
      <c r="J142" s="578">
        <f t="shared" si="33"/>
        <v>159841.30000000002</v>
      </c>
      <c r="K142" s="579"/>
      <c r="L142" s="883"/>
      <c r="M142" s="883"/>
      <c r="N142" s="883"/>
      <c r="O142" s="883"/>
      <c r="P142" s="883"/>
      <c r="Q142" s="612"/>
    </row>
    <row r="143" spans="1:17" ht="12" customHeight="1" x14ac:dyDescent="0.2">
      <c r="A143" s="612"/>
      <c r="B143" s="581"/>
      <c r="C143" s="612"/>
      <c r="D143" s="33" t="s">
        <v>12</v>
      </c>
      <c r="E143" s="578"/>
      <c r="F143" s="578"/>
      <c r="G143" s="578"/>
      <c r="H143" s="578"/>
      <c r="I143" s="578"/>
      <c r="J143" s="578"/>
      <c r="K143" s="579"/>
      <c r="L143" s="591"/>
      <c r="M143" s="591"/>
      <c r="N143" s="591"/>
      <c r="O143" s="591"/>
      <c r="P143" s="591"/>
      <c r="Q143" s="612"/>
    </row>
    <row r="144" spans="1:17" ht="12" customHeight="1" x14ac:dyDescent="0.2">
      <c r="A144" s="612"/>
      <c r="B144" s="581"/>
      <c r="C144" s="612"/>
      <c r="D144" s="150" t="s">
        <v>5</v>
      </c>
      <c r="E144" s="147">
        <f>SUM(F144:J144)</f>
        <v>212553.60000000001</v>
      </c>
      <c r="F144" s="147">
        <f>SUM(F135,F120,F93)</f>
        <v>51717.2</v>
      </c>
      <c r="G144" s="147">
        <f>SUM(G135,G120,G93)</f>
        <v>40569.1</v>
      </c>
      <c r="H144" s="147">
        <f>SUM(H135,H120,H93)</f>
        <v>36089.1</v>
      </c>
      <c r="I144" s="147">
        <f>SUM(I135,I120,I93)</f>
        <v>42089.1</v>
      </c>
      <c r="J144" s="147">
        <f>SUM(J135,J120,J93)</f>
        <v>42089.1</v>
      </c>
      <c r="K144" s="579"/>
      <c r="L144" s="591"/>
      <c r="M144" s="591"/>
      <c r="N144" s="591"/>
      <c r="O144" s="591"/>
      <c r="P144" s="591"/>
      <c r="Q144" s="612"/>
    </row>
    <row r="145" spans="1:17" ht="12" customHeight="1" x14ac:dyDescent="0.2">
      <c r="A145" s="612"/>
      <c r="B145" s="581"/>
      <c r="C145" s="612"/>
      <c r="D145" s="150" t="s">
        <v>6</v>
      </c>
      <c r="E145" s="147">
        <f>SUM(F145:J145)</f>
        <v>561020.30000000005</v>
      </c>
      <c r="F145" s="147">
        <f>SUM(F138,F126,F124,F111,F109,F106,F103,F100,F98)</f>
        <v>107709.90000000001</v>
      </c>
      <c r="G145" s="147">
        <f>G118+G133+G91</f>
        <v>107309.1</v>
      </c>
      <c r="H145" s="147">
        <f>H118+H133+H91</f>
        <v>110496.9</v>
      </c>
      <c r="I145" s="147">
        <f>I118+I133+I91</f>
        <v>117752.20000000001</v>
      </c>
      <c r="J145" s="147">
        <f>J118+J133+J91</f>
        <v>117752.20000000001</v>
      </c>
      <c r="K145" s="579"/>
      <c r="L145" s="591"/>
      <c r="M145" s="591"/>
      <c r="N145" s="591"/>
      <c r="O145" s="591"/>
      <c r="P145" s="591"/>
      <c r="Q145" s="612"/>
    </row>
    <row r="146" spans="1:17" ht="15" customHeight="1" x14ac:dyDescent="0.2">
      <c r="A146" s="97" t="s">
        <v>116</v>
      </c>
      <c r="B146" s="895" t="s">
        <v>117</v>
      </c>
      <c r="C146" s="896"/>
      <c r="D146" s="896"/>
      <c r="E146" s="896"/>
      <c r="F146" s="896"/>
      <c r="G146" s="896"/>
      <c r="H146" s="896"/>
      <c r="I146" s="896"/>
      <c r="J146" s="896"/>
      <c r="K146" s="896"/>
      <c r="L146" s="896"/>
      <c r="M146" s="896"/>
      <c r="N146" s="896"/>
      <c r="O146" s="896"/>
      <c r="P146" s="896"/>
      <c r="Q146" s="897"/>
    </row>
    <row r="147" spans="1:17" ht="52.5" customHeight="1" x14ac:dyDescent="0.2">
      <c r="A147" s="168" t="s">
        <v>118</v>
      </c>
      <c r="B147" s="172" t="s">
        <v>71</v>
      </c>
      <c r="C147" s="612" t="s">
        <v>161</v>
      </c>
      <c r="D147" s="119" t="s">
        <v>207</v>
      </c>
      <c r="E147" s="169">
        <f t="shared" ref="E147:J147" si="34">SUM(E148:E150)</f>
        <v>1012.7</v>
      </c>
      <c r="F147" s="169">
        <f t="shared" si="34"/>
        <v>294.5</v>
      </c>
      <c r="G147" s="169">
        <f t="shared" si="34"/>
        <v>351.2</v>
      </c>
      <c r="H147" s="169">
        <f t="shared" si="34"/>
        <v>130</v>
      </c>
      <c r="I147" s="169">
        <f t="shared" si="34"/>
        <v>118.5</v>
      </c>
      <c r="J147" s="169">
        <f t="shared" si="34"/>
        <v>118.5</v>
      </c>
      <c r="K147" s="587" t="s">
        <v>273</v>
      </c>
      <c r="L147" s="138" t="s">
        <v>236</v>
      </c>
      <c r="M147" s="138" t="s">
        <v>236</v>
      </c>
      <c r="N147" s="138" t="s">
        <v>236</v>
      </c>
      <c r="O147" s="138" t="s">
        <v>236</v>
      </c>
      <c r="P147" s="138" t="s">
        <v>236</v>
      </c>
      <c r="Q147" s="589" t="s">
        <v>51</v>
      </c>
    </row>
    <row r="148" spans="1:17" ht="48" customHeight="1" x14ac:dyDescent="0.2">
      <c r="A148" s="735" t="s">
        <v>287</v>
      </c>
      <c r="B148" s="881" t="s">
        <v>286</v>
      </c>
      <c r="C148" s="619"/>
      <c r="D148" s="591" t="s">
        <v>6</v>
      </c>
      <c r="E148" s="559">
        <f>SUM(F148:J149)</f>
        <v>601.70000000000005</v>
      </c>
      <c r="F148" s="610">
        <v>98.5</v>
      </c>
      <c r="G148" s="610">
        <f>136.6-0.4</f>
        <v>136.19999999999999</v>
      </c>
      <c r="H148" s="459">
        <v>130</v>
      </c>
      <c r="I148" s="459">
        <v>118.5</v>
      </c>
      <c r="J148" s="459">
        <v>118.5</v>
      </c>
      <c r="K148" s="629"/>
      <c r="L148" s="633">
        <v>100</v>
      </c>
      <c r="M148" s="633">
        <v>100</v>
      </c>
      <c r="N148" s="633">
        <v>100</v>
      </c>
      <c r="O148" s="633">
        <v>100</v>
      </c>
      <c r="P148" s="633">
        <v>100</v>
      </c>
      <c r="Q148" s="599"/>
    </row>
    <row r="149" spans="1:17" ht="11.45" customHeight="1" x14ac:dyDescent="0.2">
      <c r="A149" s="652"/>
      <c r="B149" s="618"/>
      <c r="C149" s="619"/>
      <c r="D149" s="591"/>
      <c r="E149" s="591"/>
      <c r="F149" s="610"/>
      <c r="G149" s="610"/>
      <c r="H149" s="459"/>
      <c r="I149" s="459"/>
      <c r="J149" s="459"/>
      <c r="K149" s="629"/>
      <c r="L149" s="634"/>
      <c r="M149" s="634"/>
      <c r="N149" s="634"/>
      <c r="O149" s="634"/>
      <c r="P149" s="634"/>
      <c r="Q149" s="599"/>
    </row>
    <row r="150" spans="1:17" ht="21.6" customHeight="1" x14ac:dyDescent="0.2">
      <c r="A150" s="146" t="s">
        <v>288</v>
      </c>
      <c r="B150" s="172" t="s">
        <v>204</v>
      </c>
      <c r="C150" s="619"/>
      <c r="D150" s="150" t="s">
        <v>5</v>
      </c>
      <c r="E150" s="147">
        <f>F150+G150+H150+I150+J150</f>
        <v>411</v>
      </c>
      <c r="F150" s="147">
        <v>196</v>
      </c>
      <c r="G150" s="147">
        <v>215</v>
      </c>
      <c r="H150" s="141">
        <v>0</v>
      </c>
      <c r="I150" s="141">
        <v>0</v>
      </c>
      <c r="J150" s="141">
        <v>0</v>
      </c>
      <c r="K150" s="630"/>
      <c r="L150" s="177">
        <v>100</v>
      </c>
      <c r="M150" s="177">
        <v>100</v>
      </c>
      <c r="N150" s="177">
        <v>0</v>
      </c>
      <c r="O150" s="177">
        <v>0</v>
      </c>
      <c r="P150" s="177">
        <v>0</v>
      </c>
      <c r="Q150" s="600"/>
    </row>
    <row r="151" spans="1:17" ht="21.6" customHeight="1" x14ac:dyDescent="0.2">
      <c r="A151" s="582" t="s">
        <v>119</v>
      </c>
      <c r="B151" s="584" t="s">
        <v>70</v>
      </c>
      <c r="C151" s="642" t="s">
        <v>161</v>
      </c>
      <c r="D151" s="119" t="s">
        <v>207</v>
      </c>
      <c r="E151" s="157">
        <v>11330.3</v>
      </c>
      <c r="F151" s="157">
        <v>2294.6999999999998</v>
      </c>
      <c r="G151" s="157">
        <v>2258.9</v>
      </c>
      <c r="H151" s="34">
        <v>2258.9</v>
      </c>
      <c r="I151" s="34">
        <v>2258.9</v>
      </c>
      <c r="J151" s="34">
        <v>2258.9</v>
      </c>
      <c r="K151" s="587" t="s">
        <v>274</v>
      </c>
      <c r="L151" s="589" t="s">
        <v>275</v>
      </c>
      <c r="M151" s="589" t="s">
        <v>275</v>
      </c>
      <c r="N151" s="589" t="s">
        <v>275</v>
      </c>
      <c r="O151" s="589" t="s">
        <v>275</v>
      </c>
      <c r="P151" s="589" t="s">
        <v>275</v>
      </c>
      <c r="Q151" s="589" t="s">
        <v>51</v>
      </c>
    </row>
    <row r="152" spans="1:17" ht="15.75" customHeight="1" x14ac:dyDescent="0.2">
      <c r="A152" s="615"/>
      <c r="B152" s="655"/>
      <c r="C152" s="588"/>
      <c r="D152" s="150" t="s">
        <v>5</v>
      </c>
      <c r="E152" s="153">
        <f>SUM(F152:J152)</f>
        <v>5399.3</v>
      </c>
      <c r="F152" s="153">
        <f>1250-18.7-196</f>
        <v>1035.3</v>
      </c>
      <c r="G152" s="153">
        <f>1000+364</f>
        <v>1364</v>
      </c>
      <c r="H152" s="153">
        <v>1000</v>
      </c>
      <c r="I152" s="153">
        <v>1000</v>
      </c>
      <c r="J152" s="153">
        <v>1000</v>
      </c>
      <c r="K152" s="629"/>
      <c r="L152" s="866"/>
      <c r="M152" s="866"/>
      <c r="N152" s="866"/>
      <c r="O152" s="866"/>
      <c r="P152" s="866"/>
      <c r="Q152" s="620"/>
    </row>
    <row r="153" spans="1:17" ht="21" customHeight="1" x14ac:dyDescent="0.2">
      <c r="A153" s="616"/>
      <c r="B153" s="645"/>
      <c r="C153" s="643"/>
      <c r="D153" s="150" t="s">
        <v>6</v>
      </c>
      <c r="E153" s="153">
        <f>SUM(F153:J153)</f>
        <v>6295</v>
      </c>
      <c r="F153" s="153">
        <v>1259.4000000000001</v>
      </c>
      <c r="G153" s="153">
        <v>1258.9000000000001</v>
      </c>
      <c r="H153" s="153">
        <v>1258.9000000000001</v>
      </c>
      <c r="I153" s="153">
        <v>1258.9000000000001</v>
      </c>
      <c r="J153" s="153">
        <v>1258.9000000000001</v>
      </c>
      <c r="K153" s="630"/>
      <c r="L153" s="664"/>
      <c r="M153" s="664"/>
      <c r="N153" s="664"/>
      <c r="O153" s="664"/>
      <c r="P153" s="664"/>
      <c r="Q153" s="621"/>
    </row>
    <row r="154" spans="1:17" ht="14.25" customHeight="1" x14ac:dyDescent="0.2">
      <c r="A154" s="582" t="s">
        <v>120</v>
      </c>
      <c r="B154" s="584" t="s">
        <v>133</v>
      </c>
      <c r="C154" s="642" t="s">
        <v>161</v>
      </c>
      <c r="D154" s="671" t="s">
        <v>221</v>
      </c>
      <c r="E154" s="885">
        <f t="shared" ref="E154:J154" si="35">SUM(E158,E164)</f>
        <v>715.4</v>
      </c>
      <c r="F154" s="885">
        <f t="shared" si="35"/>
        <v>607.4</v>
      </c>
      <c r="G154" s="885">
        <f t="shared" si="35"/>
        <v>27</v>
      </c>
      <c r="H154" s="885">
        <f t="shared" si="35"/>
        <v>27</v>
      </c>
      <c r="I154" s="885">
        <f t="shared" si="35"/>
        <v>27</v>
      </c>
      <c r="J154" s="885">
        <f t="shared" si="35"/>
        <v>27</v>
      </c>
      <c r="K154" s="587" t="s">
        <v>263</v>
      </c>
      <c r="L154" s="589" t="s">
        <v>236</v>
      </c>
      <c r="M154" s="589" t="s">
        <v>236</v>
      </c>
      <c r="N154" s="589" t="s">
        <v>236</v>
      </c>
      <c r="O154" s="589" t="s">
        <v>236</v>
      </c>
      <c r="P154" s="589" t="s">
        <v>236</v>
      </c>
      <c r="Q154" s="589" t="s">
        <v>51</v>
      </c>
    </row>
    <row r="155" spans="1:17" ht="11.25" customHeight="1" x14ac:dyDescent="0.2">
      <c r="A155" s="661"/>
      <c r="B155" s="644"/>
      <c r="C155" s="677"/>
      <c r="D155" s="673"/>
      <c r="E155" s="885"/>
      <c r="F155" s="885"/>
      <c r="G155" s="885"/>
      <c r="H155" s="885"/>
      <c r="I155" s="885"/>
      <c r="J155" s="885"/>
      <c r="K155" s="873"/>
      <c r="L155" s="866"/>
      <c r="M155" s="866"/>
      <c r="N155" s="866"/>
      <c r="O155" s="866"/>
      <c r="P155" s="866"/>
      <c r="Q155" s="866"/>
    </row>
    <row r="156" spans="1:17" ht="11.25" customHeight="1" x14ac:dyDescent="0.2">
      <c r="A156" s="654"/>
      <c r="B156" s="645"/>
      <c r="C156" s="646"/>
      <c r="D156" s="160" t="s">
        <v>5</v>
      </c>
      <c r="E156" s="153">
        <f t="shared" ref="E156:J156" si="36">E154</f>
        <v>715.4</v>
      </c>
      <c r="F156" s="153">
        <f t="shared" si="36"/>
        <v>607.4</v>
      </c>
      <c r="G156" s="153">
        <f t="shared" si="36"/>
        <v>27</v>
      </c>
      <c r="H156" s="153">
        <f t="shared" si="36"/>
        <v>27</v>
      </c>
      <c r="I156" s="153">
        <f t="shared" si="36"/>
        <v>27</v>
      </c>
      <c r="J156" s="153">
        <f t="shared" si="36"/>
        <v>27</v>
      </c>
      <c r="K156" s="630"/>
      <c r="L156" s="664"/>
      <c r="M156" s="664"/>
      <c r="N156" s="664"/>
      <c r="O156" s="664"/>
      <c r="P156" s="664"/>
      <c r="Q156" s="621"/>
    </row>
    <row r="157" spans="1:17" ht="21" customHeight="1" x14ac:dyDescent="0.2">
      <c r="A157" s="582" t="s">
        <v>121</v>
      </c>
      <c r="B157" s="584" t="s">
        <v>68</v>
      </c>
      <c r="C157" s="642" t="s">
        <v>161</v>
      </c>
      <c r="D157" s="119" t="s">
        <v>207</v>
      </c>
      <c r="E157" s="142">
        <f t="shared" ref="E157:J157" si="37">E158</f>
        <v>542.4</v>
      </c>
      <c r="F157" s="142">
        <f t="shared" si="37"/>
        <v>542.4</v>
      </c>
      <c r="G157" s="142">
        <f t="shared" si="37"/>
        <v>0</v>
      </c>
      <c r="H157" s="142">
        <f t="shared" si="37"/>
        <v>0</v>
      </c>
      <c r="I157" s="142">
        <f t="shared" si="37"/>
        <v>0</v>
      </c>
      <c r="J157" s="142">
        <f t="shared" si="37"/>
        <v>0</v>
      </c>
      <c r="K157" s="587" t="s">
        <v>279</v>
      </c>
      <c r="L157" s="884" t="s">
        <v>276</v>
      </c>
      <c r="M157" s="884" t="s">
        <v>277</v>
      </c>
      <c r="N157" s="884" t="s">
        <v>278</v>
      </c>
      <c r="O157" s="884" t="s">
        <v>278</v>
      </c>
      <c r="P157" s="884" t="s">
        <v>278</v>
      </c>
      <c r="Q157" s="589" t="s">
        <v>51</v>
      </c>
    </row>
    <row r="158" spans="1:17" ht="21.6" customHeight="1" x14ac:dyDescent="0.2">
      <c r="A158" s="653"/>
      <c r="B158" s="655"/>
      <c r="C158" s="583"/>
      <c r="D158" s="603" t="s">
        <v>5</v>
      </c>
      <c r="E158" s="605">
        <f>SUM(F158:H159)</f>
        <v>542.4</v>
      </c>
      <c r="F158" s="605">
        <f>250+292.4</f>
        <v>542.4</v>
      </c>
      <c r="G158" s="605">
        <v>0</v>
      </c>
      <c r="H158" s="605">
        <v>0</v>
      </c>
      <c r="I158" s="605">
        <v>0</v>
      </c>
      <c r="J158" s="605">
        <v>0</v>
      </c>
      <c r="K158" s="629"/>
      <c r="L158" s="866"/>
      <c r="M158" s="866"/>
      <c r="N158" s="866"/>
      <c r="O158" s="866"/>
      <c r="P158" s="866"/>
      <c r="Q158" s="620"/>
    </row>
    <row r="159" spans="1:17" ht="7.35" customHeight="1" x14ac:dyDescent="0.2">
      <c r="A159" s="654"/>
      <c r="B159" s="645"/>
      <c r="C159" s="646"/>
      <c r="D159" s="604"/>
      <c r="E159" s="606"/>
      <c r="F159" s="606"/>
      <c r="G159" s="606"/>
      <c r="H159" s="606"/>
      <c r="I159" s="606"/>
      <c r="J159" s="606"/>
      <c r="K159" s="630"/>
      <c r="L159" s="664"/>
      <c r="M159" s="664"/>
      <c r="N159" s="664"/>
      <c r="O159" s="664"/>
      <c r="P159" s="664"/>
      <c r="Q159" s="621"/>
    </row>
    <row r="160" spans="1:17" ht="24" customHeight="1" x14ac:dyDescent="0.2">
      <c r="A160" s="582" t="s">
        <v>122</v>
      </c>
      <c r="B160" s="584" t="s">
        <v>153</v>
      </c>
      <c r="C160" s="642" t="s">
        <v>161</v>
      </c>
      <c r="D160" s="119" t="s">
        <v>207</v>
      </c>
      <c r="E160" s="143">
        <f t="shared" ref="E160:J160" si="38">E161</f>
        <v>0</v>
      </c>
      <c r="F160" s="143">
        <f t="shared" si="38"/>
        <v>0</v>
      </c>
      <c r="G160" s="143">
        <f t="shared" si="38"/>
        <v>0</v>
      </c>
      <c r="H160" s="143">
        <f t="shared" si="38"/>
        <v>0</v>
      </c>
      <c r="I160" s="143">
        <f t="shared" si="38"/>
        <v>0</v>
      </c>
      <c r="J160" s="143">
        <f t="shared" si="38"/>
        <v>0</v>
      </c>
      <c r="K160" s="587" t="s">
        <v>281</v>
      </c>
      <c r="L160" s="884" t="s">
        <v>280</v>
      </c>
      <c r="M160" s="884" t="s">
        <v>282</v>
      </c>
      <c r="N160" s="884" t="s">
        <v>283</v>
      </c>
      <c r="O160" s="884" t="s">
        <v>283</v>
      </c>
      <c r="P160" s="884" t="s">
        <v>283</v>
      </c>
      <c r="Q160" s="589" t="s">
        <v>51</v>
      </c>
    </row>
    <row r="161" spans="1:17" ht="17.45" customHeight="1" x14ac:dyDescent="0.2">
      <c r="A161" s="653"/>
      <c r="B161" s="655"/>
      <c r="C161" s="583"/>
      <c r="D161" s="603" t="s">
        <v>5</v>
      </c>
      <c r="E161" s="605">
        <f>SUM(F161:H162)</f>
        <v>0</v>
      </c>
      <c r="F161" s="605">
        <f>20-20</f>
        <v>0</v>
      </c>
      <c r="G161" s="605">
        <v>0</v>
      </c>
      <c r="H161" s="605">
        <v>0</v>
      </c>
      <c r="I161" s="605">
        <v>0</v>
      </c>
      <c r="J161" s="605">
        <v>0</v>
      </c>
      <c r="K161" s="629"/>
      <c r="L161" s="870"/>
      <c r="M161" s="870"/>
      <c r="N161" s="870"/>
      <c r="O161" s="870"/>
      <c r="P161" s="870"/>
      <c r="Q161" s="620"/>
    </row>
    <row r="162" spans="1:17" ht="12" customHeight="1" x14ac:dyDescent="0.2">
      <c r="A162" s="654"/>
      <c r="B162" s="645"/>
      <c r="C162" s="646"/>
      <c r="D162" s="604"/>
      <c r="E162" s="606"/>
      <c r="F162" s="606"/>
      <c r="G162" s="606"/>
      <c r="H162" s="606"/>
      <c r="I162" s="606"/>
      <c r="J162" s="606"/>
      <c r="K162" s="630"/>
      <c r="L162" s="871"/>
      <c r="M162" s="871"/>
      <c r="N162" s="871"/>
      <c r="O162" s="871"/>
      <c r="P162" s="871"/>
      <c r="Q162" s="621"/>
    </row>
    <row r="163" spans="1:17" ht="21.75" customHeight="1" x14ac:dyDescent="0.2">
      <c r="A163" s="582" t="s">
        <v>123</v>
      </c>
      <c r="B163" s="584" t="s">
        <v>69</v>
      </c>
      <c r="C163" s="642" t="s">
        <v>161</v>
      </c>
      <c r="D163" s="119" t="s">
        <v>207</v>
      </c>
      <c r="E163" s="143">
        <f t="shared" ref="E163:J163" si="39">E164</f>
        <v>173</v>
      </c>
      <c r="F163" s="143">
        <f t="shared" si="39"/>
        <v>65</v>
      </c>
      <c r="G163" s="143">
        <f t="shared" si="39"/>
        <v>27</v>
      </c>
      <c r="H163" s="143">
        <f t="shared" si="39"/>
        <v>27</v>
      </c>
      <c r="I163" s="143">
        <f t="shared" si="39"/>
        <v>27</v>
      </c>
      <c r="J163" s="143">
        <f t="shared" si="39"/>
        <v>27</v>
      </c>
      <c r="K163" s="587" t="s">
        <v>284</v>
      </c>
      <c r="L163" s="884" t="s">
        <v>236</v>
      </c>
      <c r="M163" s="884" t="s">
        <v>236</v>
      </c>
      <c r="N163" s="884" t="s">
        <v>236</v>
      </c>
      <c r="O163" s="884" t="s">
        <v>236</v>
      </c>
      <c r="P163" s="884" t="s">
        <v>236</v>
      </c>
      <c r="Q163" s="589" t="s">
        <v>51</v>
      </c>
    </row>
    <row r="164" spans="1:17" ht="22.35" customHeight="1" x14ac:dyDescent="0.2">
      <c r="A164" s="653"/>
      <c r="B164" s="655"/>
      <c r="C164" s="583"/>
      <c r="D164" s="603" t="s">
        <v>5</v>
      </c>
      <c r="E164" s="605">
        <f>SUM(F164:J164)</f>
        <v>173</v>
      </c>
      <c r="F164" s="605">
        <v>65</v>
      </c>
      <c r="G164" s="605">
        <v>27</v>
      </c>
      <c r="H164" s="605">
        <v>27</v>
      </c>
      <c r="I164" s="605">
        <v>27</v>
      </c>
      <c r="J164" s="605">
        <v>27</v>
      </c>
      <c r="K164" s="630"/>
      <c r="L164" s="621"/>
      <c r="M164" s="621"/>
      <c r="N164" s="621"/>
      <c r="O164" s="621"/>
      <c r="P164" s="621"/>
      <c r="Q164" s="620"/>
    </row>
    <row r="165" spans="1:17" ht="23.25" customHeight="1" thickBot="1" x14ac:dyDescent="0.25">
      <c r="A165" s="654"/>
      <c r="B165" s="645"/>
      <c r="C165" s="646"/>
      <c r="D165" s="625"/>
      <c r="E165" s="609"/>
      <c r="F165" s="609"/>
      <c r="G165" s="609"/>
      <c r="H165" s="609"/>
      <c r="I165" s="609"/>
      <c r="J165" s="609"/>
      <c r="K165" s="166" t="s">
        <v>285</v>
      </c>
      <c r="L165" s="138" t="s">
        <v>236</v>
      </c>
      <c r="M165" s="138" t="s">
        <v>236</v>
      </c>
      <c r="N165" s="138" t="s">
        <v>236</v>
      </c>
      <c r="O165" s="138" t="s">
        <v>236</v>
      </c>
      <c r="P165" s="138" t="s">
        <v>236</v>
      </c>
      <c r="Q165" s="621"/>
    </row>
    <row r="166" spans="1:17" ht="12" customHeight="1" x14ac:dyDescent="0.2">
      <c r="A166" s="612"/>
      <c r="B166" s="581" t="s">
        <v>124</v>
      </c>
      <c r="C166" s="613"/>
      <c r="D166" s="36" t="s">
        <v>11</v>
      </c>
      <c r="E166" s="577">
        <f t="shared" ref="E166:J166" si="40">SUM(E168:E169)</f>
        <v>13422.399999999998</v>
      </c>
      <c r="F166" s="577">
        <f t="shared" si="40"/>
        <v>3196.6</v>
      </c>
      <c r="G166" s="577">
        <f t="shared" si="40"/>
        <v>3001.1000000000004</v>
      </c>
      <c r="H166" s="595">
        <f t="shared" si="40"/>
        <v>2415.9</v>
      </c>
      <c r="I166" s="595">
        <f t="shared" si="40"/>
        <v>2404.4</v>
      </c>
      <c r="J166" s="595">
        <f t="shared" si="40"/>
        <v>2404.4</v>
      </c>
      <c r="K166" s="893"/>
      <c r="L166" s="883"/>
      <c r="M166" s="883"/>
      <c r="N166" s="883"/>
      <c r="O166" s="883"/>
      <c r="P166" s="883"/>
      <c r="Q166" s="612"/>
    </row>
    <row r="167" spans="1:17" ht="12" customHeight="1" x14ac:dyDescent="0.2">
      <c r="A167" s="612"/>
      <c r="B167" s="581"/>
      <c r="C167" s="613"/>
      <c r="D167" s="37" t="s">
        <v>12</v>
      </c>
      <c r="E167" s="578"/>
      <c r="F167" s="578"/>
      <c r="G167" s="578"/>
      <c r="H167" s="596"/>
      <c r="I167" s="596"/>
      <c r="J167" s="596"/>
      <c r="K167" s="849"/>
      <c r="L167" s="591"/>
      <c r="M167" s="591"/>
      <c r="N167" s="591"/>
      <c r="O167" s="591"/>
      <c r="P167" s="591"/>
      <c r="Q167" s="612"/>
    </row>
    <row r="168" spans="1:17" ht="12" customHeight="1" x14ac:dyDescent="0.2">
      <c r="A168" s="612"/>
      <c r="B168" s="581"/>
      <c r="C168" s="613"/>
      <c r="D168" s="38" t="s">
        <v>5</v>
      </c>
      <c r="E168" s="147">
        <f>SUM(F168:J168)</f>
        <v>6525.7</v>
      </c>
      <c r="F168" s="147">
        <f>SUM(F154,F152,F150)</f>
        <v>1838.6999999999998</v>
      </c>
      <c r="G168" s="147">
        <f>SUM(G154,G152,G150)</f>
        <v>1606</v>
      </c>
      <c r="H168" s="147">
        <f>SUM(H154,H152,H150)</f>
        <v>1027</v>
      </c>
      <c r="I168" s="147">
        <f>SUM(I154,I152,I150)</f>
        <v>1027</v>
      </c>
      <c r="J168" s="147">
        <f>SUM(J154,J152,J150)</f>
        <v>1027</v>
      </c>
      <c r="K168" s="849"/>
      <c r="L168" s="591"/>
      <c r="M168" s="591"/>
      <c r="N168" s="591"/>
      <c r="O168" s="591"/>
      <c r="P168" s="591"/>
      <c r="Q168" s="612"/>
    </row>
    <row r="169" spans="1:17" ht="12" customHeight="1" thickBot="1" x14ac:dyDescent="0.25">
      <c r="A169" s="612"/>
      <c r="B169" s="581"/>
      <c r="C169" s="613"/>
      <c r="D169" s="39" t="s">
        <v>6</v>
      </c>
      <c r="E169" s="44">
        <f>SUM(F169:J169)</f>
        <v>6896.6999999999989</v>
      </c>
      <c r="F169" s="44">
        <f>SUM(F148,F153)</f>
        <v>1357.9</v>
      </c>
      <c r="G169" s="44">
        <f>SUM(G148,G153)</f>
        <v>1395.1000000000001</v>
      </c>
      <c r="H169" s="45">
        <f>SUM(H148,H153)</f>
        <v>1388.9</v>
      </c>
      <c r="I169" s="45">
        <f>SUM(I148,I153)</f>
        <v>1377.4</v>
      </c>
      <c r="J169" s="45">
        <f>SUM(J148,J153)</f>
        <v>1377.4</v>
      </c>
      <c r="K169" s="894"/>
      <c r="L169" s="591"/>
      <c r="M169" s="591"/>
      <c r="N169" s="591"/>
      <c r="O169" s="591"/>
      <c r="P169" s="591"/>
      <c r="Q169" s="612"/>
    </row>
    <row r="170" spans="1:17" ht="15.75" customHeight="1" x14ac:dyDescent="0.2">
      <c r="A170" s="613"/>
      <c r="B170" s="817" t="s">
        <v>13</v>
      </c>
      <c r="C170" s="819"/>
      <c r="D170" s="889" t="s">
        <v>220</v>
      </c>
      <c r="E170" s="891">
        <f t="shared" ref="E170:J170" si="41">SUM(E172:E173)</f>
        <v>802469.6</v>
      </c>
      <c r="F170" s="892">
        <f t="shared" si="41"/>
        <v>173578.2</v>
      </c>
      <c r="G170" s="891">
        <f>SUM(G172:G173)</f>
        <v>154213.1</v>
      </c>
      <c r="H170" s="886">
        <f t="shared" si="41"/>
        <v>149396.9</v>
      </c>
      <c r="I170" s="886">
        <f t="shared" si="41"/>
        <v>162640.70000000001</v>
      </c>
      <c r="J170" s="886">
        <f t="shared" si="41"/>
        <v>162640.70000000001</v>
      </c>
      <c r="K170" s="597"/>
      <c r="L170" s="591"/>
      <c r="M170" s="591"/>
      <c r="N170" s="591"/>
      <c r="O170" s="591"/>
      <c r="P170" s="591"/>
      <c r="Q170" s="612"/>
    </row>
    <row r="171" spans="1:17" ht="15.75" customHeight="1" thickBot="1" x14ac:dyDescent="0.25">
      <c r="A171" s="613"/>
      <c r="B171" s="818"/>
      <c r="C171" s="820"/>
      <c r="D171" s="890"/>
      <c r="E171" s="891"/>
      <c r="F171" s="892"/>
      <c r="G171" s="891"/>
      <c r="H171" s="886"/>
      <c r="I171" s="886"/>
      <c r="J171" s="886"/>
      <c r="K171" s="597"/>
      <c r="L171" s="591"/>
      <c r="M171" s="591"/>
      <c r="N171" s="591"/>
      <c r="O171" s="591"/>
      <c r="P171" s="591"/>
      <c r="Q171" s="612"/>
    </row>
    <row r="172" spans="1:17" ht="15.75" customHeight="1" thickBot="1" x14ac:dyDescent="0.25">
      <c r="A172" s="613"/>
      <c r="B172" s="818"/>
      <c r="C172" s="820"/>
      <c r="D172" s="40" t="s">
        <v>5</v>
      </c>
      <c r="E172" s="46">
        <f>SUM(F172:J172)</f>
        <v>233964.30000000002</v>
      </c>
      <c r="F172" s="47">
        <f>SUM(F168,F144,F83,F36,F26,F16)</f>
        <v>64241.399999999994</v>
      </c>
      <c r="G172" s="47">
        <f>SUM(G168,G144,G83,G36,G26,G16,)</f>
        <v>45189.599999999999</v>
      </c>
      <c r="H172" s="47">
        <f>SUM(H168,H144,H83,H36,H26,H16)</f>
        <v>37511.1</v>
      </c>
      <c r="I172" s="47">
        <f>SUM(I168,I144,I83,I36,I26,I16)</f>
        <v>43511.1</v>
      </c>
      <c r="J172" s="47">
        <f>SUM(J168,J144,J83,J36,J26,J16)</f>
        <v>43511.1</v>
      </c>
      <c r="K172" s="597"/>
      <c r="L172" s="591"/>
      <c r="M172" s="591"/>
      <c r="N172" s="591"/>
      <c r="O172" s="591"/>
      <c r="P172" s="591"/>
      <c r="Q172" s="612"/>
    </row>
    <row r="173" spans="1:17" ht="15.75" customHeight="1" thickBot="1" x14ac:dyDescent="0.25">
      <c r="A173" s="613"/>
      <c r="B173" s="887"/>
      <c r="C173" s="888"/>
      <c r="D173" s="41" t="s">
        <v>6</v>
      </c>
      <c r="E173" s="48">
        <f>SUM(F173:J173)</f>
        <v>568505.29999999993</v>
      </c>
      <c r="F173" s="49">
        <f>SUM(F169,F145,F84)</f>
        <v>109336.8</v>
      </c>
      <c r="G173" s="49">
        <f>SUM(G169,G145,G84)</f>
        <v>109023.50000000001</v>
      </c>
      <c r="H173" s="49">
        <f>SUM(H169,H145)</f>
        <v>111885.79999999999</v>
      </c>
      <c r="I173" s="49">
        <f>SUM(I169,I145)</f>
        <v>119129.60000000001</v>
      </c>
      <c r="J173" s="49">
        <f>SUM(J169,J145)</f>
        <v>119129.60000000001</v>
      </c>
      <c r="K173" s="597"/>
      <c r="L173" s="591"/>
      <c r="M173" s="591"/>
      <c r="N173" s="591"/>
      <c r="O173" s="591"/>
      <c r="P173" s="591"/>
      <c r="Q173" s="612"/>
    </row>
    <row r="176" spans="1:17" ht="18.75" customHeight="1" x14ac:dyDescent="0.2">
      <c r="F176" s="96"/>
    </row>
    <row r="177" spans="6:9" ht="18.75" customHeight="1" x14ac:dyDescent="0.2">
      <c r="F177" s="96"/>
      <c r="G177" s="96"/>
      <c r="I177" s="96"/>
    </row>
  </sheetData>
  <mergeCells count="672">
    <mergeCell ref="N170:N173"/>
    <mergeCell ref="O170:O173"/>
    <mergeCell ref="P170:P173"/>
    <mergeCell ref="Q170:Q173"/>
    <mergeCell ref="L1:Q1"/>
    <mergeCell ref="N166:N169"/>
    <mergeCell ref="O166:O169"/>
    <mergeCell ref="P166:P169"/>
    <mergeCell ref="Q166:Q169"/>
    <mergeCell ref="P157:P159"/>
    <mergeCell ref="Q157:Q159"/>
    <mergeCell ref="O160:O162"/>
    <mergeCell ref="P160:P162"/>
    <mergeCell ref="Q160:Q162"/>
    <mergeCell ref="B146:Q146"/>
    <mergeCell ref="C147:C150"/>
    <mergeCell ref="K147:K150"/>
    <mergeCell ref="Q147:Q150"/>
    <mergeCell ref="H148:H149"/>
    <mergeCell ref="I148:I149"/>
    <mergeCell ref="J148:J149"/>
    <mergeCell ref="O148:O149"/>
    <mergeCell ref="P148:P149"/>
    <mergeCell ref="M137:M141"/>
    <mergeCell ref="J170:J171"/>
    <mergeCell ref="K170:K173"/>
    <mergeCell ref="L170:L173"/>
    <mergeCell ref="M170:M173"/>
    <mergeCell ref="A166:A169"/>
    <mergeCell ref="B166:B169"/>
    <mergeCell ref="C166:C169"/>
    <mergeCell ref="E166:E167"/>
    <mergeCell ref="F166:F167"/>
    <mergeCell ref="G166:G167"/>
    <mergeCell ref="H166:H167"/>
    <mergeCell ref="I166:I167"/>
    <mergeCell ref="A170:A173"/>
    <mergeCell ref="B170:B173"/>
    <mergeCell ref="C170:C173"/>
    <mergeCell ref="D170:D171"/>
    <mergeCell ref="E170:E171"/>
    <mergeCell ref="F170:F171"/>
    <mergeCell ref="G170:G171"/>
    <mergeCell ref="H170:H171"/>
    <mergeCell ref="I170:I171"/>
    <mergeCell ref="J166:J167"/>
    <mergeCell ref="K166:K169"/>
    <mergeCell ref="L166:L169"/>
    <mergeCell ref="O163:O164"/>
    <mergeCell ref="P163:P164"/>
    <mergeCell ref="Q163:Q165"/>
    <mergeCell ref="D164:D165"/>
    <mergeCell ref="E164:E165"/>
    <mergeCell ref="F164:F165"/>
    <mergeCell ref="G164:G165"/>
    <mergeCell ref="H164:H165"/>
    <mergeCell ref="I164:I165"/>
    <mergeCell ref="M166:M169"/>
    <mergeCell ref="A163:A165"/>
    <mergeCell ref="B163:B165"/>
    <mergeCell ref="C163:C165"/>
    <mergeCell ref="K163:K164"/>
    <mergeCell ref="L163:L164"/>
    <mergeCell ref="M163:M164"/>
    <mergeCell ref="J164:J165"/>
    <mergeCell ref="N163:N164"/>
    <mergeCell ref="K160:K162"/>
    <mergeCell ref="L160:L162"/>
    <mergeCell ref="M160:M162"/>
    <mergeCell ref="J161:J162"/>
    <mergeCell ref="N160:N162"/>
    <mergeCell ref="D158:D159"/>
    <mergeCell ref="E158:E159"/>
    <mergeCell ref="F158:F159"/>
    <mergeCell ref="G158:G159"/>
    <mergeCell ref="H158:H159"/>
    <mergeCell ref="I158:I159"/>
    <mergeCell ref="I161:I162"/>
    <mergeCell ref="K157:K159"/>
    <mergeCell ref="L157:L159"/>
    <mergeCell ref="M157:M159"/>
    <mergeCell ref="J158:J159"/>
    <mergeCell ref="N157:N159"/>
    <mergeCell ref="A160:A162"/>
    <mergeCell ref="B160:B162"/>
    <mergeCell ref="C160:C162"/>
    <mergeCell ref="D161:D162"/>
    <mergeCell ref="E161:E162"/>
    <mergeCell ref="F161:F162"/>
    <mergeCell ref="G161:G162"/>
    <mergeCell ref="H161:H162"/>
    <mergeCell ref="A157:A159"/>
    <mergeCell ref="B157:B159"/>
    <mergeCell ref="C157:C159"/>
    <mergeCell ref="O157:O159"/>
    <mergeCell ref="Q151:Q153"/>
    <mergeCell ref="A154:A156"/>
    <mergeCell ref="B154:B156"/>
    <mergeCell ref="C154:C156"/>
    <mergeCell ref="D154:D155"/>
    <mergeCell ref="E154:E155"/>
    <mergeCell ref="F154:F155"/>
    <mergeCell ref="G154:G155"/>
    <mergeCell ref="H154:H155"/>
    <mergeCell ref="I154:I155"/>
    <mergeCell ref="J154:J155"/>
    <mergeCell ref="K154:K156"/>
    <mergeCell ref="L154:L156"/>
    <mergeCell ref="M154:M156"/>
    <mergeCell ref="N154:N156"/>
    <mergeCell ref="O154:O156"/>
    <mergeCell ref="P154:P156"/>
    <mergeCell ref="Q154:Q156"/>
    <mergeCell ref="A151:A153"/>
    <mergeCell ref="B151:B153"/>
    <mergeCell ref="C151:C153"/>
    <mergeCell ref="K151:K153"/>
    <mergeCell ref="L151:L153"/>
    <mergeCell ref="M151:M153"/>
    <mergeCell ref="N151:N153"/>
    <mergeCell ref="O151:O153"/>
    <mergeCell ref="P151:P153"/>
    <mergeCell ref="K142:K145"/>
    <mergeCell ref="L142:L145"/>
    <mergeCell ref="M142:M145"/>
    <mergeCell ref="N142:N145"/>
    <mergeCell ref="O142:O145"/>
    <mergeCell ref="P142:P145"/>
    <mergeCell ref="Q142:Q145"/>
    <mergeCell ref="A137:A141"/>
    <mergeCell ref="A148:A149"/>
    <mergeCell ref="B148:B149"/>
    <mergeCell ref="D148:D149"/>
    <mergeCell ref="E148:E149"/>
    <mergeCell ref="F148:F149"/>
    <mergeCell ref="G148:G149"/>
    <mergeCell ref="L148:L149"/>
    <mergeCell ref="M148:M149"/>
    <mergeCell ref="N148:N149"/>
    <mergeCell ref="A142:A145"/>
    <mergeCell ref="B142:B145"/>
    <mergeCell ref="C142:C145"/>
    <mergeCell ref="E142:E143"/>
    <mergeCell ref="F142:F143"/>
    <mergeCell ref="G142:G143"/>
    <mergeCell ref="H142:H143"/>
    <mergeCell ref="I142:I143"/>
    <mergeCell ref="J142:J143"/>
    <mergeCell ref="B137:B141"/>
    <mergeCell ref="C137:C141"/>
    <mergeCell ref="K137:K141"/>
    <mergeCell ref="D138:D141"/>
    <mergeCell ref="E138:E141"/>
    <mergeCell ref="F138:F141"/>
    <mergeCell ref="G138:G141"/>
    <mergeCell ref="L137:L141"/>
    <mergeCell ref="Q129:Q133"/>
    <mergeCell ref="Q134:Q136"/>
    <mergeCell ref="N137:N141"/>
    <mergeCell ref="O137:O141"/>
    <mergeCell ref="P137:P141"/>
    <mergeCell ref="Q137:Q141"/>
    <mergeCell ref="H138:H141"/>
    <mergeCell ref="I138:I141"/>
    <mergeCell ref="J138:J141"/>
    <mergeCell ref="A134:A136"/>
    <mergeCell ref="B134:B136"/>
    <mergeCell ref="C134:C136"/>
    <mergeCell ref="K134:K136"/>
    <mergeCell ref="L134:L136"/>
    <mergeCell ref="M134:M136"/>
    <mergeCell ref="N134:N136"/>
    <mergeCell ref="O134:O136"/>
    <mergeCell ref="P134:P136"/>
    <mergeCell ref="D135:D136"/>
    <mergeCell ref="E135:E136"/>
    <mergeCell ref="F135:F136"/>
    <mergeCell ref="G135:G136"/>
    <mergeCell ref="H135:H136"/>
    <mergeCell ref="I135:I136"/>
    <mergeCell ref="J135:J136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A129:A133"/>
    <mergeCell ref="B129:B133"/>
    <mergeCell ref="C129:C133"/>
    <mergeCell ref="D129:D131"/>
    <mergeCell ref="E129:E131"/>
    <mergeCell ref="F129:F131"/>
    <mergeCell ref="G129:G131"/>
    <mergeCell ref="H129:H131"/>
    <mergeCell ref="I129:I131"/>
    <mergeCell ref="J129:J131"/>
    <mergeCell ref="K129:K133"/>
    <mergeCell ref="L129:L133"/>
    <mergeCell ref="M129:M133"/>
    <mergeCell ref="N129:N133"/>
    <mergeCell ref="O129:O133"/>
    <mergeCell ref="P129:P133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P122:P123"/>
    <mergeCell ref="Q122:Q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J120:J121"/>
    <mergeCell ref="A122:A123"/>
    <mergeCell ref="B122:B123"/>
    <mergeCell ref="C122:C123"/>
    <mergeCell ref="K122:K123"/>
    <mergeCell ref="L122:L123"/>
    <mergeCell ref="M122:M123"/>
    <mergeCell ref="N122:N123"/>
    <mergeCell ref="O122:O123"/>
    <mergeCell ref="J113:J116"/>
    <mergeCell ref="K113:K118"/>
    <mergeCell ref="L113:L118"/>
    <mergeCell ref="M113:M118"/>
    <mergeCell ref="N113:N118"/>
    <mergeCell ref="O113:O118"/>
    <mergeCell ref="P113:P118"/>
    <mergeCell ref="Q113:Q118"/>
    <mergeCell ref="A119:A121"/>
    <mergeCell ref="B119:B121"/>
    <mergeCell ref="C119:C121"/>
    <mergeCell ref="K119:K121"/>
    <mergeCell ref="L119:L121"/>
    <mergeCell ref="M119:M121"/>
    <mergeCell ref="N119:N121"/>
    <mergeCell ref="O119:O121"/>
    <mergeCell ref="P119:P121"/>
    <mergeCell ref="Q119:Q121"/>
    <mergeCell ref="D120:D121"/>
    <mergeCell ref="E120:E121"/>
    <mergeCell ref="F120:F121"/>
    <mergeCell ref="G120:G121"/>
    <mergeCell ref="H120:H121"/>
    <mergeCell ref="I120:I121"/>
    <mergeCell ref="A113:A118"/>
    <mergeCell ref="B113:B118"/>
    <mergeCell ref="C113:C118"/>
    <mergeCell ref="D113:D116"/>
    <mergeCell ref="E113:E116"/>
    <mergeCell ref="F113:F116"/>
    <mergeCell ref="G113:G116"/>
    <mergeCell ref="H113:H116"/>
    <mergeCell ref="I113:I116"/>
    <mergeCell ref="A110:A112"/>
    <mergeCell ref="B110:B112"/>
    <mergeCell ref="C110:C112"/>
    <mergeCell ref="K110:K112"/>
    <mergeCell ref="L110:L112"/>
    <mergeCell ref="M110:M112"/>
    <mergeCell ref="N110:N112"/>
    <mergeCell ref="O110:O112"/>
    <mergeCell ref="P110:P112"/>
    <mergeCell ref="A108:A109"/>
    <mergeCell ref="B108:B109"/>
    <mergeCell ref="C108:C109"/>
    <mergeCell ref="K108:K109"/>
    <mergeCell ref="L108:L109"/>
    <mergeCell ref="M108:M109"/>
    <mergeCell ref="N108:N109"/>
    <mergeCell ref="O108:O109"/>
    <mergeCell ref="P108:P109"/>
    <mergeCell ref="A105:A106"/>
    <mergeCell ref="B105:B106"/>
    <mergeCell ref="C105:C107"/>
    <mergeCell ref="K105:K106"/>
    <mergeCell ref="L105:L106"/>
    <mergeCell ref="M105:M106"/>
    <mergeCell ref="N105:N106"/>
    <mergeCell ref="O105:O106"/>
    <mergeCell ref="P105:P106"/>
    <mergeCell ref="P97:P101"/>
    <mergeCell ref="Q97:Q101"/>
    <mergeCell ref="D98:D101"/>
    <mergeCell ref="E98:E101"/>
    <mergeCell ref="F98:F101"/>
    <mergeCell ref="G98:G101"/>
    <mergeCell ref="H98:H101"/>
    <mergeCell ref="I98:I101"/>
    <mergeCell ref="A102:A104"/>
    <mergeCell ref="B102:B104"/>
    <mergeCell ref="C102:C104"/>
    <mergeCell ref="K102:K104"/>
    <mergeCell ref="L102:L104"/>
    <mergeCell ref="M102:M104"/>
    <mergeCell ref="N102:N104"/>
    <mergeCell ref="O102:O104"/>
    <mergeCell ref="P102:P104"/>
    <mergeCell ref="A97:A101"/>
    <mergeCell ref="B97:B101"/>
    <mergeCell ref="C97:C101"/>
    <mergeCell ref="K97:K101"/>
    <mergeCell ref="L97:L101"/>
    <mergeCell ref="M97:M101"/>
    <mergeCell ref="J98:J101"/>
    <mergeCell ref="N97:N101"/>
    <mergeCell ref="O97:O101"/>
    <mergeCell ref="Q92:Q93"/>
    <mergeCell ref="A94:A96"/>
    <mergeCell ref="B94:B96"/>
    <mergeCell ref="C94:C96"/>
    <mergeCell ref="D94:D95"/>
    <mergeCell ref="E94:E95"/>
    <mergeCell ref="F94:F95"/>
    <mergeCell ref="G94:G95"/>
    <mergeCell ref="H94:H95"/>
    <mergeCell ref="I94:I95"/>
    <mergeCell ref="J94:J95"/>
    <mergeCell ref="K94:K96"/>
    <mergeCell ref="L94:L96"/>
    <mergeCell ref="M94:M96"/>
    <mergeCell ref="N94:N96"/>
    <mergeCell ref="O94:O96"/>
    <mergeCell ref="P94:P96"/>
    <mergeCell ref="Q94:Q96"/>
    <mergeCell ref="A92:A93"/>
    <mergeCell ref="B92:B93"/>
    <mergeCell ref="C92:C93"/>
    <mergeCell ref="K92:K93"/>
    <mergeCell ref="L92:L93"/>
    <mergeCell ref="M92:M93"/>
    <mergeCell ref="N92:N93"/>
    <mergeCell ref="O92:O93"/>
    <mergeCell ref="P92:P93"/>
    <mergeCell ref="B85:Q85"/>
    <mergeCell ref="G81:G82"/>
    <mergeCell ref="H81:H82"/>
    <mergeCell ref="I81:I82"/>
    <mergeCell ref="J81:J82"/>
    <mergeCell ref="J86:J89"/>
    <mergeCell ref="K86:K91"/>
    <mergeCell ref="L86:L91"/>
    <mergeCell ref="M86:M91"/>
    <mergeCell ref="N86:N91"/>
    <mergeCell ref="O86:O91"/>
    <mergeCell ref="P86:P91"/>
    <mergeCell ref="Q86:Q91"/>
    <mergeCell ref="A86:A91"/>
    <mergeCell ref="B86:B91"/>
    <mergeCell ref="C86:C91"/>
    <mergeCell ref="D86:D89"/>
    <mergeCell ref="E86:E89"/>
    <mergeCell ref="F86:F89"/>
    <mergeCell ref="G86:G89"/>
    <mergeCell ref="H86:H89"/>
    <mergeCell ref="I86:I89"/>
    <mergeCell ref="P78:P80"/>
    <mergeCell ref="Q78:Q80"/>
    <mergeCell ref="K81:K84"/>
    <mergeCell ref="L81:L84"/>
    <mergeCell ref="A81:A84"/>
    <mergeCell ref="B81:B84"/>
    <mergeCell ref="C81:C84"/>
    <mergeCell ref="D81:D82"/>
    <mergeCell ref="E81:E82"/>
    <mergeCell ref="F81:F82"/>
    <mergeCell ref="M81:M84"/>
    <mergeCell ref="N81:N84"/>
    <mergeCell ref="O81:O84"/>
    <mergeCell ref="P81:P84"/>
    <mergeCell ref="Q81:Q84"/>
    <mergeCell ref="J76:J77"/>
    <mergeCell ref="A78:A80"/>
    <mergeCell ref="B78:B80"/>
    <mergeCell ref="C78:C80"/>
    <mergeCell ref="K78:K80"/>
    <mergeCell ref="L78:L80"/>
    <mergeCell ref="M78:M80"/>
    <mergeCell ref="N78:N80"/>
    <mergeCell ref="O78:O80"/>
    <mergeCell ref="J69:J72"/>
    <mergeCell ref="K69:K74"/>
    <mergeCell ref="L69:L74"/>
    <mergeCell ref="M69:M74"/>
    <mergeCell ref="N69:N74"/>
    <mergeCell ref="O69:O74"/>
    <mergeCell ref="P69:P74"/>
    <mergeCell ref="Q69:Q74"/>
    <mergeCell ref="A75:A77"/>
    <mergeCell ref="B75:B77"/>
    <mergeCell ref="C75:C77"/>
    <mergeCell ref="K75:K77"/>
    <mergeCell ref="L75:L77"/>
    <mergeCell ref="M75:M77"/>
    <mergeCell ref="N75:N77"/>
    <mergeCell ref="O75:O77"/>
    <mergeCell ref="P75:P77"/>
    <mergeCell ref="Q75:Q77"/>
    <mergeCell ref="D76:D77"/>
    <mergeCell ref="E76:E77"/>
    <mergeCell ref="F76:F77"/>
    <mergeCell ref="G76:G77"/>
    <mergeCell ref="H76:H77"/>
    <mergeCell ref="I76:I77"/>
    <mergeCell ref="A69:A74"/>
    <mergeCell ref="B69:B74"/>
    <mergeCell ref="C69:C74"/>
    <mergeCell ref="D69:D72"/>
    <mergeCell ref="E69:E72"/>
    <mergeCell ref="F69:F72"/>
    <mergeCell ref="G69:G72"/>
    <mergeCell ref="H69:H72"/>
    <mergeCell ref="I69:I72"/>
    <mergeCell ref="O64:O65"/>
    <mergeCell ref="P64:P65"/>
    <mergeCell ref="H62:H63"/>
    <mergeCell ref="I62:I63"/>
    <mergeCell ref="J62:J63"/>
    <mergeCell ref="O61:O63"/>
    <mergeCell ref="P61:P63"/>
    <mergeCell ref="Q64:Q65"/>
    <mergeCell ref="C66:C68"/>
    <mergeCell ref="K66:K68"/>
    <mergeCell ref="L66:L68"/>
    <mergeCell ref="M66:M68"/>
    <mergeCell ref="N66:N68"/>
    <mergeCell ref="O66:O68"/>
    <mergeCell ref="P66:P68"/>
    <mergeCell ref="Q66:Q68"/>
    <mergeCell ref="K64:K65"/>
    <mergeCell ref="Q61:Q63"/>
    <mergeCell ref="A64:A65"/>
    <mergeCell ref="B64:B65"/>
    <mergeCell ref="C64:C65"/>
    <mergeCell ref="L61:L63"/>
    <mergeCell ref="M61:M63"/>
    <mergeCell ref="N61:N63"/>
    <mergeCell ref="G62:G63"/>
    <mergeCell ref="L64:L65"/>
    <mergeCell ref="M64:M65"/>
    <mergeCell ref="N64:N65"/>
    <mergeCell ref="I59:I60"/>
    <mergeCell ref="J59:J60"/>
    <mergeCell ref="A61:A63"/>
    <mergeCell ref="B61:B63"/>
    <mergeCell ref="C61:C63"/>
    <mergeCell ref="K61:K63"/>
    <mergeCell ref="D62:D63"/>
    <mergeCell ref="E62:E63"/>
    <mergeCell ref="F62:F63"/>
    <mergeCell ref="J53:J55"/>
    <mergeCell ref="K53:K57"/>
    <mergeCell ref="L53:L57"/>
    <mergeCell ref="M53:M57"/>
    <mergeCell ref="N53:N57"/>
    <mergeCell ref="O53:O57"/>
    <mergeCell ref="P53:P57"/>
    <mergeCell ref="Q53:Q57"/>
    <mergeCell ref="A58:A60"/>
    <mergeCell ref="B58:B60"/>
    <mergeCell ref="C58:C60"/>
    <mergeCell ref="K58:K60"/>
    <mergeCell ref="L58:L60"/>
    <mergeCell ref="M58:M60"/>
    <mergeCell ref="N58:N60"/>
    <mergeCell ref="O58:O60"/>
    <mergeCell ref="P58:P60"/>
    <mergeCell ref="Q58:Q60"/>
    <mergeCell ref="D59:D60"/>
    <mergeCell ref="E59:E60"/>
    <mergeCell ref="F59:F60"/>
    <mergeCell ref="G59:G60"/>
    <mergeCell ref="H59:H60"/>
    <mergeCell ref="A53:A57"/>
    <mergeCell ref="B53:B57"/>
    <mergeCell ref="C53:C57"/>
    <mergeCell ref="D53:D55"/>
    <mergeCell ref="E53:E55"/>
    <mergeCell ref="F53:F55"/>
    <mergeCell ref="G53:G55"/>
    <mergeCell ref="H53:H55"/>
    <mergeCell ref="I53:I55"/>
    <mergeCell ref="A44:A46"/>
    <mergeCell ref="B44:B46"/>
    <mergeCell ref="C44:C46"/>
    <mergeCell ref="K44:K46"/>
    <mergeCell ref="A47:A49"/>
    <mergeCell ref="B47:B49"/>
    <mergeCell ref="C47:C49"/>
    <mergeCell ref="K47:K49"/>
    <mergeCell ref="A50:A52"/>
    <mergeCell ref="B50:B52"/>
    <mergeCell ref="C50:C52"/>
    <mergeCell ref="K50:K52"/>
    <mergeCell ref="L40:L41"/>
    <mergeCell ref="M40:M41"/>
    <mergeCell ref="N40:N41"/>
    <mergeCell ref="O40:O41"/>
    <mergeCell ref="P40:P41"/>
    <mergeCell ref="Q40:Q41"/>
    <mergeCell ref="E42:E43"/>
    <mergeCell ref="F42:F43"/>
    <mergeCell ref="G42:G43"/>
    <mergeCell ref="H42:H43"/>
    <mergeCell ref="I42:I43"/>
    <mergeCell ref="J42:J43"/>
    <mergeCell ref="L42:L43"/>
    <mergeCell ref="M42:M43"/>
    <mergeCell ref="N42:N43"/>
    <mergeCell ref="O42:O43"/>
    <mergeCell ref="P42:P43"/>
    <mergeCell ref="Q42:Q43"/>
    <mergeCell ref="A39:A43"/>
    <mergeCell ref="B39:B43"/>
    <mergeCell ref="C39:C43"/>
    <mergeCell ref="K39:K43"/>
    <mergeCell ref="D40:D43"/>
    <mergeCell ref="E40:E41"/>
    <mergeCell ref="F40:F41"/>
    <mergeCell ref="G40:G41"/>
    <mergeCell ref="H40:H41"/>
    <mergeCell ref="I40:I41"/>
    <mergeCell ref="J40:J41"/>
    <mergeCell ref="J34:J35"/>
    <mergeCell ref="K34:K37"/>
    <mergeCell ref="L34:L37"/>
    <mergeCell ref="M34:M37"/>
    <mergeCell ref="N34:N37"/>
    <mergeCell ref="O34:O37"/>
    <mergeCell ref="P34:P37"/>
    <mergeCell ref="Q34:Q37"/>
    <mergeCell ref="B38:Q38"/>
    <mergeCell ref="A34:A37"/>
    <mergeCell ref="B34:B37"/>
    <mergeCell ref="C34:C37"/>
    <mergeCell ref="D34:D35"/>
    <mergeCell ref="E34:E35"/>
    <mergeCell ref="F34:F35"/>
    <mergeCell ref="G34:G35"/>
    <mergeCell ref="H34:H35"/>
    <mergeCell ref="I34:I35"/>
    <mergeCell ref="N29:N31"/>
    <mergeCell ref="O29:O31"/>
    <mergeCell ref="P29:P31"/>
    <mergeCell ref="Q29:Q33"/>
    <mergeCell ref="D30:D33"/>
    <mergeCell ref="E30:E33"/>
    <mergeCell ref="F30:F33"/>
    <mergeCell ref="G30:G33"/>
    <mergeCell ref="H30:H33"/>
    <mergeCell ref="I30:I33"/>
    <mergeCell ref="N32:N33"/>
    <mergeCell ref="O32:O33"/>
    <mergeCell ref="P32:P33"/>
    <mergeCell ref="A29:A33"/>
    <mergeCell ref="B29:B33"/>
    <mergeCell ref="C29:C33"/>
    <mergeCell ref="K29:K31"/>
    <mergeCell ref="L29:L31"/>
    <mergeCell ref="M29:M31"/>
    <mergeCell ref="J30:J33"/>
    <mergeCell ref="K32:K33"/>
    <mergeCell ref="L32:L33"/>
    <mergeCell ref="M32:M33"/>
    <mergeCell ref="M24:M27"/>
    <mergeCell ref="N24:N27"/>
    <mergeCell ref="O24:O27"/>
    <mergeCell ref="P24:P27"/>
    <mergeCell ref="Q24:Q27"/>
    <mergeCell ref="B28:Q28"/>
    <mergeCell ref="G24:G25"/>
    <mergeCell ref="H24:H25"/>
    <mergeCell ref="I24:I25"/>
    <mergeCell ref="J24:J25"/>
    <mergeCell ref="A24:A27"/>
    <mergeCell ref="B24:B27"/>
    <mergeCell ref="C24:C27"/>
    <mergeCell ref="D24:D25"/>
    <mergeCell ref="E24:E25"/>
    <mergeCell ref="F24:F25"/>
    <mergeCell ref="K24:K27"/>
    <mergeCell ref="L24:L27"/>
    <mergeCell ref="G22:G23"/>
    <mergeCell ref="H22:H23"/>
    <mergeCell ref="I22:I23"/>
    <mergeCell ref="J22:J23"/>
    <mergeCell ref="A19:A23"/>
    <mergeCell ref="B19:B23"/>
    <mergeCell ref="C19:C23"/>
    <mergeCell ref="N19:N23"/>
    <mergeCell ref="O19:O23"/>
    <mergeCell ref="P19:P23"/>
    <mergeCell ref="Q19:Q23"/>
    <mergeCell ref="D20:D21"/>
    <mergeCell ref="E20:E21"/>
    <mergeCell ref="F20:F21"/>
    <mergeCell ref="G20:G21"/>
    <mergeCell ref="H20:H21"/>
    <mergeCell ref="I20:I21"/>
    <mergeCell ref="K19:K23"/>
    <mergeCell ref="L19:L23"/>
    <mergeCell ref="M19:M23"/>
    <mergeCell ref="J20:J21"/>
    <mergeCell ref="D22:D23"/>
    <mergeCell ref="E22:E23"/>
    <mergeCell ref="F22:F23"/>
    <mergeCell ref="N14:N17"/>
    <mergeCell ref="O14:O17"/>
    <mergeCell ref="P14:P17"/>
    <mergeCell ref="Q14:Q17"/>
    <mergeCell ref="B18:Q18"/>
    <mergeCell ref="G14:G15"/>
    <mergeCell ref="H14:H15"/>
    <mergeCell ref="I14:I15"/>
    <mergeCell ref="J14:J15"/>
    <mergeCell ref="K14:K17"/>
    <mergeCell ref="L14:L17"/>
    <mergeCell ref="A14:A17"/>
    <mergeCell ref="B14:B17"/>
    <mergeCell ref="C14:C17"/>
    <mergeCell ref="D14:D15"/>
    <mergeCell ref="E14:E15"/>
    <mergeCell ref="F14:F15"/>
    <mergeCell ref="M14:M17"/>
    <mergeCell ref="B8:Q8"/>
    <mergeCell ref="A9:A13"/>
    <mergeCell ref="B9:B13"/>
    <mergeCell ref="C9:C13"/>
    <mergeCell ref="K9:K13"/>
    <mergeCell ref="L9:L13"/>
    <mergeCell ref="M9:M13"/>
    <mergeCell ref="N9:N13"/>
    <mergeCell ref="O9:O13"/>
    <mergeCell ref="P9:P13"/>
    <mergeCell ref="Q9:Q13"/>
    <mergeCell ref="D10:D13"/>
    <mergeCell ref="E10:E13"/>
    <mergeCell ref="F10:F13"/>
    <mergeCell ref="G10:G13"/>
    <mergeCell ref="H10:H13"/>
    <mergeCell ref="I10:I13"/>
    <mergeCell ref="J10:J13"/>
    <mergeCell ref="A2:Q2"/>
    <mergeCell ref="A4:A5"/>
    <mergeCell ref="B4:B5"/>
    <mergeCell ref="C4:C5"/>
    <mergeCell ref="D4:D5"/>
    <mergeCell ref="E4:J4"/>
    <mergeCell ref="K4:P4"/>
    <mergeCell ref="Q4:Q5"/>
    <mergeCell ref="B7:Q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L8" sqref="L8"/>
    </sheetView>
  </sheetViews>
  <sheetFormatPr defaultRowHeight="15" x14ac:dyDescent="0.25"/>
  <cols>
    <col min="1" max="1" width="3.7109375" customWidth="1"/>
    <col min="2" max="2" width="5.140625" customWidth="1"/>
    <col min="3" max="3" width="29.7109375" style="405" customWidth="1"/>
    <col min="4" max="10" width="10.7109375" customWidth="1"/>
  </cols>
  <sheetData>
    <row r="1" spans="1:10" x14ac:dyDescent="0.25">
      <c r="A1" s="369"/>
      <c r="B1" s="369"/>
      <c r="C1" s="404"/>
      <c r="D1" s="369"/>
      <c r="E1" s="369" t="s">
        <v>507</v>
      </c>
      <c r="F1" s="369"/>
      <c r="G1" s="369"/>
      <c r="H1" s="369"/>
      <c r="I1" s="369"/>
      <c r="J1" s="369"/>
    </row>
    <row r="2" spans="1:10" x14ac:dyDescent="0.25">
      <c r="A2" s="369" t="s">
        <v>505</v>
      </c>
      <c r="B2" s="369"/>
      <c r="C2" s="404"/>
      <c r="D2" s="369" t="s">
        <v>506</v>
      </c>
      <c r="E2" s="369" t="s">
        <v>508</v>
      </c>
      <c r="F2" s="369"/>
      <c r="G2" s="369"/>
      <c r="H2" s="369"/>
      <c r="I2" s="369"/>
      <c r="J2" s="369"/>
    </row>
    <row r="3" spans="1:10" x14ac:dyDescent="0.25">
      <c r="A3" s="369"/>
      <c r="B3" s="369"/>
      <c r="C3" s="404"/>
      <c r="D3" s="369"/>
      <c r="E3" s="369">
        <v>2019</v>
      </c>
      <c r="F3" s="369">
        <v>2020</v>
      </c>
      <c r="G3" s="369">
        <v>2021</v>
      </c>
      <c r="H3" s="392">
        <v>2022</v>
      </c>
      <c r="I3" s="392">
        <v>2023</v>
      </c>
      <c r="J3" s="392">
        <v>2024</v>
      </c>
    </row>
    <row r="4" spans="1:10" x14ac:dyDescent="0.25">
      <c r="A4" s="369">
        <v>1</v>
      </c>
      <c r="B4" s="369"/>
      <c r="C4" s="404"/>
      <c r="D4" s="369">
        <v>2</v>
      </c>
      <c r="E4" s="369">
        <v>3</v>
      </c>
      <c r="F4" s="369">
        <v>4</v>
      </c>
      <c r="G4" s="369">
        <v>5</v>
      </c>
      <c r="H4" s="392">
        <v>6</v>
      </c>
      <c r="I4" s="392">
        <v>7</v>
      </c>
      <c r="J4" s="392">
        <v>8</v>
      </c>
    </row>
    <row r="5" spans="1:10" x14ac:dyDescent="0.25">
      <c r="A5" s="369" t="s">
        <v>509</v>
      </c>
      <c r="B5" s="369"/>
      <c r="C5" s="404"/>
      <c r="D5" s="392">
        <f>E5+F5+G5+H5+I5+J5</f>
        <v>70443.360000000001</v>
      </c>
      <c r="E5" s="369">
        <f>E7</f>
        <v>11513.599999999999</v>
      </c>
      <c r="F5" s="369">
        <f t="shared" ref="F5:J5" si="0">F7</f>
        <v>11506.480000000001</v>
      </c>
      <c r="G5" s="369">
        <f t="shared" si="0"/>
        <v>11545.45</v>
      </c>
      <c r="H5" s="392">
        <f t="shared" si="0"/>
        <v>11991.249999999998</v>
      </c>
      <c r="I5" s="392">
        <f t="shared" si="0"/>
        <v>11730.78</v>
      </c>
      <c r="J5" s="393">
        <f t="shared" si="0"/>
        <v>12155.800000000001</v>
      </c>
    </row>
    <row r="6" spans="1:10" x14ac:dyDescent="0.25">
      <c r="A6" s="369"/>
      <c r="B6" s="369" t="s">
        <v>510</v>
      </c>
      <c r="C6" s="404"/>
      <c r="D6" s="392">
        <f t="shared" ref="D6" si="1">E6+F6+G6+H6+I6+J6</f>
        <v>0</v>
      </c>
      <c r="E6" s="369"/>
      <c r="F6" s="369"/>
      <c r="G6" s="369"/>
      <c r="H6" s="392"/>
      <c r="I6" s="392"/>
      <c r="J6" s="393"/>
    </row>
    <row r="7" spans="1:10" ht="27.6" customHeight="1" x14ac:dyDescent="0.25">
      <c r="A7" s="369"/>
      <c r="B7" s="369" t="s">
        <v>511</v>
      </c>
      <c r="C7" s="404"/>
      <c r="D7" s="392">
        <f>E7+F7+G7+H7+I7+J7</f>
        <v>70443.360000000001</v>
      </c>
      <c r="E7" s="369">
        <f>E8+E9+E10</f>
        <v>11513.599999999999</v>
      </c>
      <c r="F7" s="369">
        <f>F8+F9+F10</f>
        <v>11506.480000000001</v>
      </c>
      <c r="G7" s="369">
        <f>G8+G9+G10</f>
        <v>11545.45</v>
      </c>
      <c r="H7" s="393">
        <f>H8+H9+H10</f>
        <v>11991.249999999998</v>
      </c>
      <c r="I7" s="392">
        <f t="shared" ref="I7:J7" si="2">I8+I9+I10</f>
        <v>11730.78</v>
      </c>
      <c r="J7" s="393">
        <f t="shared" si="2"/>
        <v>12155.800000000001</v>
      </c>
    </row>
    <row r="8" spans="1:10" ht="149.44999999999999" customHeight="1" x14ac:dyDescent="0.25">
      <c r="A8" s="369"/>
      <c r="B8" s="369"/>
      <c r="C8" s="407" t="s">
        <v>512</v>
      </c>
      <c r="D8" s="392">
        <f>E8+F8+G8+H8+I8+J8</f>
        <v>64353.78</v>
      </c>
      <c r="E8" s="369">
        <v>9925.08</v>
      </c>
      <c r="F8" s="369">
        <v>10424.780000000001</v>
      </c>
      <c r="G8" s="369">
        <v>10379.48</v>
      </c>
      <c r="H8" s="392">
        <f>9265.81+300+1363.71+511.66-88.37-503.87+260.4</f>
        <v>11109.339999999998</v>
      </c>
      <c r="I8" s="392">
        <f>300+9358.44+1391.53</f>
        <v>11049.970000000001</v>
      </c>
      <c r="J8" s="393">
        <f>9732.69+300+1432.44</f>
        <v>11465.130000000001</v>
      </c>
    </row>
    <row r="9" spans="1:10" ht="26.45" customHeight="1" x14ac:dyDescent="0.25">
      <c r="A9" s="369"/>
      <c r="B9" s="369"/>
      <c r="C9" s="404" t="s">
        <v>513</v>
      </c>
      <c r="D9" s="393">
        <f>E9+F9+G9+H9+I9+J9</f>
        <v>5959.48</v>
      </c>
      <c r="E9" s="369">
        <v>1565.79</v>
      </c>
      <c r="F9" s="369">
        <v>1058.27</v>
      </c>
      <c r="G9" s="369">
        <v>1146.52</v>
      </c>
      <c r="H9" s="393">
        <f>864.28</f>
        <v>864.28</v>
      </c>
      <c r="I9" s="392">
        <v>657.38</v>
      </c>
      <c r="J9" s="393">
        <v>667.24</v>
      </c>
    </row>
    <row r="10" spans="1:10" ht="28.15" customHeight="1" x14ac:dyDescent="0.25">
      <c r="A10" s="369"/>
      <c r="B10" s="369"/>
      <c r="C10" s="404" t="s">
        <v>514</v>
      </c>
      <c r="D10" s="392">
        <f>E10+F10+G10+H10+I10+J10</f>
        <v>130.1</v>
      </c>
      <c r="E10" s="369">
        <v>22.73</v>
      </c>
      <c r="F10" s="369">
        <v>23.43</v>
      </c>
      <c r="G10" s="369">
        <v>19.45</v>
      </c>
      <c r="H10" s="392">
        <f>23.43-5.8</f>
        <v>17.63</v>
      </c>
      <c r="I10" s="392">
        <v>23.43</v>
      </c>
      <c r="J10" s="393">
        <v>23.43</v>
      </c>
    </row>
    <row r="11" spans="1:10" ht="41.45" customHeight="1" x14ac:dyDescent="0.25">
      <c r="A11" s="369"/>
      <c r="B11" s="369" t="s">
        <v>515</v>
      </c>
      <c r="C11" s="404"/>
      <c r="D11" s="369">
        <v>0</v>
      </c>
      <c r="E11" s="369">
        <v>0</v>
      </c>
      <c r="F11" s="369">
        <v>0</v>
      </c>
      <c r="G11" s="369">
        <v>0</v>
      </c>
      <c r="H11" s="369">
        <v>0</v>
      </c>
      <c r="I11" s="369">
        <v>0</v>
      </c>
      <c r="J11" s="369">
        <v>0</v>
      </c>
    </row>
    <row r="14" spans="1:10" x14ac:dyDescent="0.25">
      <c r="H14" t="s">
        <v>551</v>
      </c>
      <c r="I14" s="406">
        <v>44901</v>
      </c>
    </row>
  </sheetData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L37"/>
  <sheetViews>
    <sheetView topLeftCell="A10" zoomScale="85" zoomScaleNormal="85" zoomScaleSheetLayoutView="100" workbookViewId="0">
      <selection activeCell="F12" activeCellId="2" sqref="F19 F15 F12"/>
    </sheetView>
  </sheetViews>
  <sheetFormatPr defaultColWidth="9.140625" defaultRowHeight="11.25" x14ac:dyDescent="0.2"/>
  <cols>
    <col min="1" max="1" width="3.42578125" style="67" customWidth="1"/>
    <col min="2" max="2" width="15.85546875" style="29" customWidth="1"/>
    <col min="3" max="3" width="9.5703125" style="29" customWidth="1"/>
    <col min="4" max="4" width="17.85546875" style="29" customWidth="1"/>
    <col min="5" max="5" width="13.5703125" style="29" customWidth="1"/>
    <col min="6" max="6" width="15.140625" style="29" customWidth="1"/>
    <col min="7" max="9" width="16.42578125" style="29" customWidth="1"/>
    <col min="10" max="16384" width="9.140625" style="29"/>
  </cols>
  <sheetData>
    <row r="1" spans="1:12" ht="29.25" customHeight="1" x14ac:dyDescent="0.2">
      <c r="A1" s="470" t="s">
        <v>203</v>
      </c>
      <c r="B1" s="417"/>
      <c r="C1" s="417"/>
      <c r="D1" s="417"/>
      <c r="E1" s="417"/>
      <c r="F1" s="417"/>
      <c r="G1" s="417"/>
      <c r="H1" s="417"/>
      <c r="I1" s="417"/>
      <c r="J1" s="54"/>
      <c r="K1" s="54"/>
      <c r="L1" s="54"/>
    </row>
    <row r="2" spans="1:12" ht="21.75" customHeight="1" x14ac:dyDescent="0.2">
      <c r="A2" s="471" t="s">
        <v>303</v>
      </c>
      <c r="B2" s="472"/>
      <c r="C2" s="472"/>
      <c r="D2" s="472"/>
      <c r="E2" s="472"/>
      <c r="F2" s="472"/>
      <c r="G2" s="472"/>
      <c r="H2" s="472"/>
      <c r="I2" s="472"/>
      <c r="J2" s="54"/>
      <c r="K2" s="54"/>
      <c r="L2" s="54"/>
    </row>
    <row r="3" spans="1:12" ht="26.25" customHeight="1" x14ac:dyDescent="0.2">
      <c r="A3" s="473"/>
      <c r="B3" s="474"/>
      <c r="C3" s="474"/>
      <c r="D3" s="474"/>
      <c r="E3" s="474"/>
      <c r="F3" s="474"/>
      <c r="G3" s="474"/>
      <c r="H3" s="474"/>
      <c r="I3" s="474"/>
      <c r="J3" s="54"/>
      <c r="K3" s="54"/>
      <c r="L3" s="54"/>
    </row>
    <row r="4" spans="1:12" ht="9.75" customHeight="1" x14ac:dyDescent="0.2">
      <c r="A4" s="469"/>
      <c r="B4" s="469"/>
      <c r="C4" s="469"/>
      <c r="D4" s="458" t="s">
        <v>54</v>
      </c>
      <c r="E4" s="458">
        <v>2014</v>
      </c>
      <c r="F4" s="458">
        <v>2015</v>
      </c>
      <c r="G4" s="458">
        <v>2016</v>
      </c>
      <c r="H4" s="458">
        <v>2017</v>
      </c>
      <c r="I4" s="458">
        <v>2018</v>
      </c>
      <c r="J4" s="54"/>
      <c r="K4" s="54"/>
      <c r="L4" s="54"/>
    </row>
    <row r="5" spans="1:12" ht="6.75" customHeight="1" x14ac:dyDescent="0.2">
      <c r="A5" s="469"/>
      <c r="B5" s="469"/>
      <c r="C5" s="469"/>
      <c r="D5" s="458"/>
      <c r="E5" s="458"/>
      <c r="F5" s="458"/>
      <c r="G5" s="458"/>
      <c r="H5" s="458"/>
      <c r="I5" s="458"/>
    </row>
    <row r="6" spans="1:12" ht="15" customHeight="1" x14ac:dyDescent="0.2">
      <c r="A6" s="460" t="s">
        <v>52</v>
      </c>
      <c r="B6" s="461"/>
      <c r="C6" s="461"/>
      <c r="D6" s="461"/>
      <c r="E6" s="461"/>
      <c r="F6" s="461"/>
      <c r="G6" s="462"/>
      <c r="H6" s="55"/>
      <c r="I6" s="55"/>
      <c r="J6" s="55"/>
      <c r="K6" s="55"/>
      <c r="L6" s="55"/>
    </row>
    <row r="7" spans="1:12" s="11" customFormat="1" ht="15" customHeight="1" x14ac:dyDescent="0.2">
      <c r="A7" s="457">
        <v>2</v>
      </c>
      <c r="B7" s="459" t="s">
        <v>13</v>
      </c>
      <c r="C7" s="34" t="s">
        <v>11</v>
      </c>
      <c r="D7" s="34">
        <f>SUM(E7:I7)</f>
        <v>808286.41</v>
      </c>
      <c r="E7" s="34">
        <f>SUM(E8:E9)+0.01</f>
        <v>173578.21000000002</v>
      </c>
      <c r="F7" s="34">
        <f>SUM(F8:F9)</f>
        <v>164366.79999999999</v>
      </c>
      <c r="G7" s="34">
        <f>SUM(G8:G9)</f>
        <v>146738.20000000001</v>
      </c>
      <c r="H7" s="34">
        <f>SUM(H8:H9)</f>
        <v>161801.60000000001</v>
      </c>
      <c r="I7" s="34">
        <f>SUM(I8:I9)</f>
        <v>161801.60000000001</v>
      </c>
      <c r="J7" s="56"/>
      <c r="K7" s="56"/>
      <c r="L7" s="56"/>
    </row>
    <row r="8" spans="1:12" s="11" customFormat="1" ht="15" customHeight="1" x14ac:dyDescent="0.2">
      <c r="A8" s="457"/>
      <c r="B8" s="459"/>
      <c r="C8" s="60" t="s">
        <v>5</v>
      </c>
      <c r="D8" s="34">
        <f>SUM(E8:I8)</f>
        <v>242910.80000000002</v>
      </c>
      <c r="E8" s="60">
        <f>мм!F171</f>
        <v>64241.399999999994</v>
      </c>
      <c r="F8" s="207">
        <f>мм!G171</f>
        <v>54136.1</v>
      </c>
      <c r="G8" s="207">
        <f>мм!H171</f>
        <v>37511.1</v>
      </c>
      <c r="H8" s="207">
        <f>мм!I171</f>
        <v>43511.1</v>
      </c>
      <c r="I8" s="207">
        <f>мм!J171</f>
        <v>43511.1</v>
      </c>
      <c r="J8" s="56"/>
      <c r="K8" s="56"/>
      <c r="L8" s="56"/>
    </row>
    <row r="9" spans="1:12" s="11" customFormat="1" ht="15" customHeight="1" x14ac:dyDescent="0.2">
      <c r="A9" s="457"/>
      <c r="B9" s="459"/>
      <c r="C9" s="60" t="s">
        <v>6</v>
      </c>
      <c r="D9" s="34">
        <f>SUM(E9:I9)</f>
        <v>565375.60000000009</v>
      </c>
      <c r="E9" s="60">
        <f>мм!F172</f>
        <v>109336.8</v>
      </c>
      <c r="F9" s="207">
        <f>мм!G172</f>
        <v>110230.7</v>
      </c>
      <c r="G9" s="207">
        <f>мм!H172</f>
        <v>109227.10000000002</v>
      </c>
      <c r="H9" s="207">
        <f>мм!I172</f>
        <v>118290.5</v>
      </c>
      <c r="I9" s="207">
        <f>мм!J172</f>
        <v>118290.5</v>
      </c>
      <c r="J9" s="56"/>
      <c r="K9" s="56"/>
      <c r="L9" s="56"/>
    </row>
    <row r="10" spans="1:12" ht="13.5" customHeight="1" x14ac:dyDescent="0.2">
      <c r="A10" s="463" t="s">
        <v>53</v>
      </c>
      <c r="B10" s="464"/>
      <c r="C10" s="464"/>
      <c r="D10" s="464"/>
      <c r="E10" s="464"/>
      <c r="F10" s="464"/>
      <c r="G10" s="465"/>
      <c r="H10" s="55"/>
      <c r="I10" s="55"/>
      <c r="J10" s="55"/>
      <c r="K10" s="55"/>
      <c r="L10" s="55"/>
    </row>
    <row r="11" spans="1:12" s="11" customFormat="1" ht="14.25" customHeight="1" x14ac:dyDescent="0.2">
      <c r="A11" s="457">
        <v>3</v>
      </c>
      <c r="B11" s="459" t="s">
        <v>13</v>
      </c>
      <c r="C11" s="34" t="s">
        <v>11</v>
      </c>
      <c r="D11" s="34">
        <f>SUM(E11:I11)</f>
        <v>720</v>
      </c>
      <c r="E11" s="34">
        <v>150</v>
      </c>
      <c r="F11" s="34">
        <v>120</v>
      </c>
      <c r="G11" s="34">
        <v>150</v>
      </c>
      <c r="H11" s="34">
        <v>150</v>
      </c>
      <c r="I11" s="34">
        <v>150</v>
      </c>
      <c r="J11" s="56"/>
      <c r="K11" s="56"/>
      <c r="L11" s="56"/>
    </row>
    <row r="12" spans="1:12" s="11" customFormat="1" ht="14.25" customHeight="1" x14ac:dyDescent="0.2">
      <c r="A12" s="457"/>
      <c r="B12" s="459"/>
      <c r="C12" s="60" t="s">
        <v>5</v>
      </c>
      <c r="D12" s="34">
        <f>SUM(E12:I12)</f>
        <v>720</v>
      </c>
      <c r="E12" s="60">
        <v>150</v>
      </c>
      <c r="F12" s="60">
        <v>120</v>
      </c>
      <c r="G12" s="60">
        <v>150</v>
      </c>
      <c r="H12" s="68">
        <v>150</v>
      </c>
      <c r="I12" s="68">
        <v>150</v>
      </c>
      <c r="J12" s="56"/>
      <c r="K12" s="56"/>
      <c r="L12" s="56"/>
    </row>
    <row r="13" spans="1:12" ht="12.75" customHeight="1" x14ac:dyDescent="0.2">
      <c r="A13" s="463" t="s">
        <v>55</v>
      </c>
      <c r="B13" s="464"/>
      <c r="C13" s="464"/>
      <c r="D13" s="464"/>
      <c r="E13" s="464"/>
      <c r="F13" s="464"/>
      <c r="G13" s="465"/>
    </row>
    <row r="14" spans="1:12" s="11" customFormat="1" ht="13.5" customHeight="1" x14ac:dyDescent="0.2">
      <c r="A14" s="457">
        <v>4</v>
      </c>
      <c r="B14" s="459" t="s">
        <v>13</v>
      </c>
      <c r="C14" s="34" t="s">
        <v>11</v>
      </c>
      <c r="D14" s="34">
        <f>SUM(E14:I14)</f>
        <v>4100.3</v>
      </c>
      <c r="E14" s="34">
        <f>SUM(E15:E16)</f>
        <v>1011.5999999999999</v>
      </c>
      <c r="F14" s="34">
        <f>SUM(F15:F16)</f>
        <v>853.4</v>
      </c>
      <c r="G14" s="34">
        <f>SUM(G15:G16)</f>
        <v>736.5</v>
      </c>
      <c r="H14" s="34">
        <f>SUM(H15:H16)</f>
        <v>749.4</v>
      </c>
      <c r="I14" s="34">
        <f>SUM(I15:I16)</f>
        <v>749.4</v>
      </c>
      <c r="J14" s="56"/>
      <c r="K14" s="56"/>
      <c r="L14" s="56"/>
    </row>
    <row r="15" spans="1:12" s="11" customFormat="1" ht="13.5" customHeight="1" x14ac:dyDescent="0.2">
      <c r="A15" s="457"/>
      <c r="B15" s="459"/>
      <c r="C15" s="60" t="s">
        <v>5</v>
      </c>
      <c r="D15" s="60">
        <f>SUM(E15:I15)</f>
        <v>2742.3999999999996</v>
      </c>
      <c r="E15" s="60">
        <f>' отдых'!F56</f>
        <v>762.99999999999989</v>
      </c>
      <c r="F15" s="207">
        <f>' отдых'!G56</f>
        <v>604.79999999999995</v>
      </c>
      <c r="G15" s="207">
        <f>' отдых'!H56</f>
        <v>458.2</v>
      </c>
      <c r="H15" s="207">
        <f>' отдых'!I56</f>
        <v>458.2</v>
      </c>
      <c r="I15" s="207">
        <f>' отдых'!J56</f>
        <v>458.2</v>
      </c>
      <c r="J15" s="56"/>
      <c r="K15" s="56"/>
      <c r="L15" s="56"/>
    </row>
    <row r="16" spans="1:12" s="11" customFormat="1" ht="13.5" customHeight="1" x14ac:dyDescent="0.2">
      <c r="A16" s="457"/>
      <c r="B16" s="459"/>
      <c r="C16" s="60" t="s">
        <v>6</v>
      </c>
      <c r="D16" s="60">
        <f>SUM(E16:I16)</f>
        <v>1357.9</v>
      </c>
      <c r="E16" s="60">
        <f>' отдых'!F57</f>
        <v>248.6</v>
      </c>
      <c r="F16" s="207">
        <f>' отдых'!G57</f>
        <v>248.6</v>
      </c>
      <c r="G16" s="207">
        <f>' отдых'!H57</f>
        <v>278.3</v>
      </c>
      <c r="H16" s="207">
        <f>' отдых'!I57</f>
        <v>291.2</v>
      </c>
      <c r="I16" s="207">
        <f>' отдых'!J57</f>
        <v>291.2</v>
      </c>
      <c r="J16" s="56"/>
      <c r="K16" s="56"/>
      <c r="L16" s="56"/>
    </row>
    <row r="17" spans="1:12" ht="13.5" customHeight="1" x14ac:dyDescent="0.2">
      <c r="A17" s="463" t="s">
        <v>56</v>
      </c>
      <c r="B17" s="464"/>
      <c r="C17" s="464"/>
      <c r="D17" s="464"/>
      <c r="E17" s="464"/>
      <c r="F17" s="464"/>
      <c r="G17" s="465"/>
    </row>
    <row r="18" spans="1:12" s="11" customFormat="1" ht="13.5" customHeight="1" x14ac:dyDescent="0.2">
      <c r="A18" s="457">
        <v>5</v>
      </c>
      <c r="B18" s="459" t="s">
        <v>13</v>
      </c>
      <c r="C18" s="34" t="s">
        <v>11</v>
      </c>
      <c r="D18" s="34">
        <f>SUM(E18:I18)</f>
        <v>343</v>
      </c>
      <c r="E18" s="34">
        <f>SUM(E19:E19)</f>
        <v>75</v>
      </c>
      <c r="F18" s="34">
        <f>SUM(F19:F19)</f>
        <v>67</v>
      </c>
      <c r="G18" s="34">
        <v>67</v>
      </c>
      <c r="H18" s="34">
        <v>67</v>
      </c>
      <c r="I18" s="34">
        <v>67</v>
      </c>
      <c r="J18" s="56"/>
      <c r="K18" s="56"/>
      <c r="L18" s="56"/>
    </row>
    <row r="19" spans="1:12" s="11" customFormat="1" ht="13.5" customHeight="1" x14ac:dyDescent="0.2">
      <c r="A19" s="457"/>
      <c r="B19" s="459"/>
      <c r="C19" s="60" t="s">
        <v>5</v>
      </c>
      <c r="D19" s="60">
        <f>SUM(E19:I19)</f>
        <v>343</v>
      </c>
      <c r="E19" s="60">
        <v>75</v>
      </c>
      <c r="F19" s="60">
        <v>67</v>
      </c>
      <c r="G19" s="60">
        <v>67</v>
      </c>
      <c r="H19" s="68">
        <v>67</v>
      </c>
      <c r="I19" s="68">
        <v>67</v>
      </c>
      <c r="J19" s="56"/>
      <c r="K19" s="56"/>
      <c r="L19" s="56"/>
    </row>
    <row r="20" spans="1:12" s="11" customFormat="1" ht="10.5" customHeight="1" x14ac:dyDescent="0.2">
      <c r="A20" s="466"/>
      <c r="B20" s="467"/>
      <c r="C20" s="467"/>
      <c r="D20" s="467"/>
      <c r="E20" s="467"/>
      <c r="F20" s="467"/>
      <c r="G20" s="468"/>
      <c r="H20" s="56"/>
      <c r="I20" s="56"/>
      <c r="J20" s="56"/>
      <c r="K20" s="56"/>
      <c r="L20" s="56"/>
    </row>
    <row r="21" spans="1:12" s="62" customFormat="1" ht="27.75" customHeight="1" x14ac:dyDescent="0.2">
      <c r="A21" s="456" t="s">
        <v>150</v>
      </c>
      <c r="B21" s="456"/>
      <c r="C21" s="34" t="s">
        <v>11</v>
      </c>
      <c r="D21" s="61">
        <f>SUM(E21:I21)</f>
        <v>813449.71</v>
      </c>
      <c r="E21" s="61">
        <f t="shared" ref="E21:I22" si="0">SUM(E7,E11,E14,E18)</f>
        <v>174814.81000000003</v>
      </c>
      <c r="F21" s="61">
        <f t="shared" si="0"/>
        <v>165407.19999999998</v>
      </c>
      <c r="G21" s="61">
        <f t="shared" si="0"/>
        <v>147691.70000000001</v>
      </c>
      <c r="H21" s="61">
        <f t="shared" si="0"/>
        <v>162768</v>
      </c>
      <c r="I21" s="61">
        <f t="shared" si="0"/>
        <v>162768</v>
      </c>
    </row>
    <row r="22" spans="1:12" s="62" customFormat="1" ht="21.75" customHeight="1" x14ac:dyDescent="0.2">
      <c r="A22" s="456"/>
      <c r="B22" s="456"/>
      <c r="C22" s="60" t="s">
        <v>5</v>
      </c>
      <c r="D22" s="63">
        <f>SUM(E22:I22)</f>
        <v>246716.19999999995</v>
      </c>
      <c r="E22" s="63">
        <f t="shared" si="0"/>
        <v>65229.399999999994</v>
      </c>
      <c r="F22" s="63">
        <f>SUM(F8,F12,F15,F19)</f>
        <v>54927.9</v>
      </c>
      <c r="G22" s="63">
        <f t="shared" si="0"/>
        <v>38186.299999999996</v>
      </c>
      <c r="H22" s="63">
        <f t="shared" si="0"/>
        <v>44186.299999999996</v>
      </c>
      <c r="I22" s="63">
        <f t="shared" si="0"/>
        <v>44186.299999999996</v>
      </c>
    </row>
    <row r="23" spans="1:12" s="62" customFormat="1" ht="22.5" customHeight="1" x14ac:dyDescent="0.2">
      <c r="A23" s="456"/>
      <c r="B23" s="456"/>
      <c r="C23" s="60" t="s">
        <v>6</v>
      </c>
      <c r="D23" s="63">
        <f>SUM(E23:I23)</f>
        <v>566733.5</v>
      </c>
      <c r="E23" s="63">
        <f>SUM(E9,E16)</f>
        <v>109585.40000000001</v>
      </c>
      <c r="F23" s="63">
        <f>SUM(F9,F16)</f>
        <v>110479.3</v>
      </c>
      <c r="G23" s="63">
        <f>SUM(G9,G16)</f>
        <v>109505.40000000002</v>
      </c>
      <c r="H23" s="63">
        <f>SUM(H9,H16)</f>
        <v>118581.7</v>
      </c>
      <c r="I23" s="63">
        <f>SUM(I9,I16)</f>
        <v>118581.7</v>
      </c>
    </row>
    <row r="24" spans="1:12" ht="12.75" customHeight="1" x14ac:dyDescent="0.2">
      <c r="A24" s="463" t="s">
        <v>151</v>
      </c>
      <c r="B24" s="464"/>
      <c r="C24" s="464"/>
      <c r="D24" s="464"/>
      <c r="E24" s="464"/>
      <c r="F24" s="464"/>
      <c r="G24" s="465"/>
    </row>
    <row r="25" spans="1:12" s="11" customFormat="1" ht="13.5" customHeight="1" x14ac:dyDescent="0.2">
      <c r="A25" s="457">
        <v>6</v>
      </c>
      <c r="B25" s="459" t="s">
        <v>13</v>
      </c>
      <c r="C25" s="34" t="s">
        <v>11</v>
      </c>
      <c r="D25" s="34">
        <f>SUM(E25:I25)</f>
        <v>32971.300000000003</v>
      </c>
      <c r="E25" s="34">
        <f>SUM(E26:E27)</f>
        <v>8816.5</v>
      </c>
      <c r="F25" s="34">
        <f>SUM(F26:F27)</f>
        <v>6482.4000000000005</v>
      </c>
      <c r="G25" s="34">
        <f>SUM(G26:G27)</f>
        <v>5890.8</v>
      </c>
      <c r="H25" s="34">
        <f>SUM(H26:H27)</f>
        <v>5890.8</v>
      </c>
      <c r="I25" s="34">
        <f>SUM(I26:I27)</f>
        <v>5890.8</v>
      </c>
      <c r="J25" s="56"/>
      <c r="K25" s="56"/>
      <c r="L25" s="56"/>
    </row>
    <row r="26" spans="1:12" s="11" customFormat="1" ht="13.5" customHeight="1" x14ac:dyDescent="0.2">
      <c r="A26" s="457"/>
      <c r="B26" s="459"/>
      <c r="C26" s="60" t="s">
        <v>5</v>
      </c>
      <c r="D26" s="60">
        <f>SUM(E26:I26)</f>
        <v>28506.6</v>
      </c>
      <c r="E26" s="60">
        <v>7950.4</v>
      </c>
      <c r="F26" s="60">
        <v>5592.8</v>
      </c>
      <c r="G26" s="109">
        <v>4987.8</v>
      </c>
      <c r="H26" s="109">
        <v>4987.8</v>
      </c>
      <c r="I26" s="109">
        <v>4987.8</v>
      </c>
      <c r="J26" s="56"/>
      <c r="K26" s="56"/>
      <c r="L26" s="56"/>
    </row>
    <row r="27" spans="1:12" s="11" customFormat="1" ht="13.5" customHeight="1" x14ac:dyDescent="0.2">
      <c r="A27" s="457"/>
      <c r="B27" s="459"/>
      <c r="C27" s="60" t="s">
        <v>6</v>
      </c>
      <c r="D27" s="60">
        <f>SUM(E27:I27)</f>
        <v>4464.7</v>
      </c>
      <c r="E27" s="60">
        <v>866.1</v>
      </c>
      <c r="F27" s="60">
        <v>889.6</v>
      </c>
      <c r="G27" s="109">
        <v>903</v>
      </c>
      <c r="H27" s="109">
        <v>903</v>
      </c>
      <c r="I27" s="109">
        <v>903</v>
      </c>
      <c r="J27" s="56"/>
      <c r="K27" s="56"/>
      <c r="L27" s="56"/>
    </row>
    <row r="28" spans="1:12" ht="13.5" customHeight="1" x14ac:dyDescent="0.2">
      <c r="A28" s="463" t="s">
        <v>152</v>
      </c>
      <c r="B28" s="464"/>
      <c r="C28" s="464"/>
      <c r="D28" s="464"/>
      <c r="E28" s="464"/>
      <c r="F28" s="464"/>
      <c r="G28" s="465"/>
    </row>
    <row r="29" spans="1:12" s="11" customFormat="1" ht="13.5" customHeight="1" x14ac:dyDescent="0.2">
      <c r="A29" s="457">
        <v>7</v>
      </c>
      <c r="B29" s="459" t="s">
        <v>13</v>
      </c>
      <c r="C29" s="34" t="s">
        <v>11</v>
      </c>
      <c r="D29" s="34">
        <f>SUM(E29:I29)</f>
        <v>40984.5</v>
      </c>
      <c r="E29" s="34">
        <f>SUM(E30:E30)</f>
        <v>6856.3</v>
      </c>
      <c r="F29" s="34">
        <f>SUM(F30:F30)</f>
        <v>8640.7999999999993</v>
      </c>
      <c r="G29" s="34">
        <f>SUM(G30)</f>
        <v>8295.7999999999993</v>
      </c>
      <c r="H29" s="34">
        <f>SUM(H30)</f>
        <v>8595.7999999999993</v>
      </c>
      <c r="I29" s="34">
        <f>SUM(I30)</f>
        <v>8595.7999999999993</v>
      </c>
      <c r="J29" s="56"/>
      <c r="K29" s="56"/>
      <c r="L29" s="56"/>
    </row>
    <row r="30" spans="1:12" s="11" customFormat="1" ht="13.5" customHeight="1" x14ac:dyDescent="0.2">
      <c r="A30" s="457"/>
      <c r="B30" s="459"/>
      <c r="C30" s="60" t="s">
        <v>5</v>
      </c>
      <c r="D30" s="60">
        <f>SUM(E30:I30)</f>
        <v>40984.5</v>
      </c>
      <c r="E30" s="60">
        <v>6856.3</v>
      </c>
      <c r="F30" s="60">
        <v>8640.7999999999993</v>
      </c>
      <c r="G30" s="60">
        <v>8295.7999999999993</v>
      </c>
      <c r="H30" s="109">
        <v>8595.7999999999993</v>
      </c>
      <c r="I30" s="109">
        <v>8595.7999999999993</v>
      </c>
      <c r="J30" s="56"/>
      <c r="K30" s="56"/>
      <c r="L30" s="56"/>
    </row>
    <row r="31" spans="1:12" ht="13.5" customHeight="1" x14ac:dyDescent="0.2">
      <c r="A31" s="463" t="s">
        <v>154</v>
      </c>
      <c r="B31" s="464"/>
      <c r="C31" s="464"/>
      <c r="D31" s="464"/>
      <c r="E31" s="464"/>
      <c r="F31" s="464"/>
      <c r="G31" s="465"/>
    </row>
    <row r="32" spans="1:12" s="11" customFormat="1" ht="13.5" customHeight="1" x14ac:dyDescent="0.2">
      <c r="A32" s="457">
        <v>8</v>
      </c>
      <c r="B32" s="459" t="s">
        <v>13</v>
      </c>
      <c r="C32" s="34" t="s">
        <v>11</v>
      </c>
      <c r="D32" s="34">
        <f>SUM(E32:I32)</f>
        <v>65220.299999999996</v>
      </c>
      <c r="E32" s="34">
        <f>SUM(E33:E33)</f>
        <v>0</v>
      </c>
      <c r="F32" s="34">
        <f>SUM(F33:F33)</f>
        <v>15957</v>
      </c>
      <c r="G32" s="34">
        <f>SUM(G33)</f>
        <v>16421.099999999999</v>
      </c>
      <c r="H32" s="34">
        <f>SUM(H33)</f>
        <v>16421.099999999999</v>
      </c>
      <c r="I32" s="34">
        <f>SUM(I33)</f>
        <v>16421.099999999999</v>
      </c>
      <c r="J32" s="56"/>
      <c r="K32" s="56"/>
      <c r="L32" s="56"/>
    </row>
    <row r="33" spans="1:12" s="11" customFormat="1" ht="13.5" customHeight="1" x14ac:dyDescent="0.2">
      <c r="A33" s="457"/>
      <c r="B33" s="459"/>
      <c r="C33" s="68" t="s">
        <v>5</v>
      </c>
      <c r="D33" s="68">
        <f>SUM(E33:I33)</f>
        <v>65220.299999999996</v>
      </c>
      <c r="E33" s="68">
        <v>0</v>
      </c>
      <c r="F33" s="68">
        <v>15957</v>
      </c>
      <c r="G33" s="68">
        <v>16421.099999999999</v>
      </c>
      <c r="H33" s="68">
        <v>16421.099999999999</v>
      </c>
      <c r="I33" s="68">
        <v>16421.099999999999</v>
      </c>
      <c r="J33" s="56"/>
      <c r="K33" s="56"/>
      <c r="L33" s="56"/>
    </row>
    <row r="34" spans="1:12" ht="7.5" customHeight="1" x14ac:dyDescent="0.2">
      <c r="B34" s="64"/>
      <c r="C34" s="64"/>
      <c r="D34" s="64"/>
      <c r="E34" s="64"/>
      <c r="F34" s="64"/>
      <c r="G34" s="64"/>
      <c r="H34" s="64"/>
      <c r="I34" s="64"/>
    </row>
    <row r="35" spans="1:12" ht="21" customHeight="1" x14ac:dyDescent="0.2">
      <c r="A35" s="454" t="s">
        <v>134</v>
      </c>
      <c r="B35" s="455"/>
      <c r="C35" s="65" t="s">
        <v>11</v>
      </c>
      <c r="D35" s="57">
        <f>SUM(E35:I35)</f>
        <v>952625.8</v>
      </c>
      <c r="E35" s="57">
        <f>SUM(E36:E37)</f>
        <v>190487.6</v>
      </c>
      <c r="F35" s="57">
        <f>SUM(F36:F37)</f>
        <v>196487.40000000002</v>
      </c>
      <c r="G35" s="57">
        <f>SUM(G36:G37)</f>
        <v>178299.40000000002</v>
      </c>
      <c r="H35" s="57">
        <f>SUM(H36:H37)</f>
        <v>193675.7</v>
      </c>
      <c r="I35" s="57">
        <f>SUM(I36:I37)</f>
        <v>193675.7</v>
      </c>
    </row>
    <row r="36" spans="1:12" ht="21" customHeight="1" x14ac:dyDescent="0.2">
      <c r="A36" s="454"/>
      <c r="B36" s="455"/>
      <c r="C36" s="66" t="s">
        <v>5</v>
      </c>
      <c r="D36" s="57">
        <f>SUM(E36:I36)</f>
        <v>381427.6</v>
      </c>
      <c r="E36" s="58">
        <f>E8+E12+E15+E19+E26+E30+E33</f>
        <v>80036.099999999991</v>
      </c>
      <c r="F36" s="58">
        <f>F22+F26+F30+F33</f>
        <v>85118.5</v>
      </c>
      <c r="G36" s="58">
        <f>G22+G26+G30+G33</f>
        <v>67891</v>
      </c>
      <c r="H36" s="58">
        <f>H22+H26+H30+H33</f>
        <v>74191</v>
      </c>
      <c r="I36" s="58">
        <f>I22+I26+I30+I33</f>
        <v>74191</v>
      </c>
    </row>
    <row r="37" spans="1:12" ht="21" customHeight="1" x14ac:dyDescent="0.2">
      <c r="A37" s="454"/>
      <c r="B37" s="455"/>
      <c r="C37" s="66" t="s">
        <v>6</v>
      </c>
      <c r="D37" s="57">
        <f>SUM(E37:I37)</f>
        <v>571198.20000000007</v>
      </c>
      <c r="E37" s="58">
        <f>E9+E16+E27</f>
        <v>110451.50000000001</v>
      </c>
      <c r="F37" s="58">
        <f>F23+F27</f>
        <v>111368.90000000001</v>
      </c>
      <c r="G37" s="58">
        <f>G23+G27</f>
        <v>110408.40000000002</v>
      </c>
      <c r="H37" s="58">
        <f>H23+H27</f>
        <v>119484.7</v>
      </c>
      <c r="I37" s="58">
        <f>I23+I27</f>
        <v>119484.7</v>
      </c>
    </row>
  </sheetData>
  <mergeCells count="33">
    <mergeCell ref="A32:A33"/>
    <mergeCell ref="B32:B33"/>
    <mergeCell ref="A29:A30"/>
    <mergeCell ref="B29:B30"/>
    <mergeCell ref="B18:B19"/>
    <mergeCell ref="H4:H5"/>
    <mergeCell ref="I4:I5"/>
    <mergeCell ref="A1:I1"/>
    <mergeCell ref="A2:I3"/>
    <mergeCell ref="A31:G31"/>
    <mergeCell ref="A28:G28"/>
    <mergeCell ref="A7:A9"/>
    <mergeCell ref="A17:G17"/>
    <mergeCell ref="A11:A12"/>
    <mergeCell ref="B11:B12"/>
    <mergeCell ref="A10:G10"/>
    <mergeCell ref="A24:G24"/>
    <mergeCell ref="A35:B37"/>
    <mergeCell ref="A21:B23"/>
    <mergeCell ref="A14:A16"/>
    <mergeCell ref="A18:A19"/>
    <mergeCell ref="E4:E5"/>
    <mergeCell ref="B7:B9"/>
    <mergeCell ref="A6:G6"/>
    <mergeCell ref="A13:G13"/>
    <mergeCell ref="B14:B16"/>
    <mergeCell ref="A20:G20"/>
    <mergeCell ref="A4:C5"/>
    <mergeCell ref="D4:D5"/>
    <mergeCell ref="F4:F5"/>
    <mergeCell ref="G4:G5"/>
    <mergeCell ref="A25:A27"/>
    <mergeCell ref="B25:B27"/>
  </mergeCells>
  <pageMargins left="0.7" right="0.7" top="0.75" bottom="0.75" header="0.3" footer="0.3"/>
  <pageSetup paperSize="9" scale="8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268"/>
  <sheetViews>
    <sheetView zoomScaleNormal="100" zoomScaleSheetLayoutView="100" workbookViewId="0">
      <pane ySplit="8" topLeftCell="A15" activePane="bottomLeft" state="frozen"/>
      <selection pane="bottomLeft" activeCell="I25" sqref="A6:S264"/>
    </sheetView>
  </sheetViews>
  <sheetFormatPr defaultColWidth="19.5703125" defaultRowHeight="18.75" customHeight="1" x14ac:dyDescent="0.2"/>
  <cols>
    <col min="1" max="1" width="7.5703125" style="233" customWidth="1"/>
    <col min="2" max="2" width="75" style="233" customWidth="1"/>
    <col min="3" max="3" width="5.28515625" style="322" customWidth="1"/>
    <col min="4" max="4" width="6.28515625" style="323" customWidth="1"/>
    <col min="5" max="5" width="10.42578125" style="323" customWidth="1"/>
    <col min="6" max="6" width="9" style="323" customWidth="1"/>
    <col min="7" max="7" width="9.28515625" style="323" customWidth="1"/>
    <col min="8" max="8" width="11.28515625" style="323" customWidth="1"/>
    <col min="9" max="9" width="9" style="323" customWidth="1"/>
    <col min="10" max="10" width="9.140625" style="323" customWidth="1"/>
    <col min="11" max="11" width="10.85546875" style="323" customWidth="1"/>
    <col min="12" max="12" width="30" style="324" customWidth="1"/>
    <col min="13" max="18" width="4.85546875" style="323" customWidth="1"/>
    <col min="19" max="19" width="17.140625" style="325" customWidth="1"/>
    <col min="20" max="21" width="19.5703125" style="373"/>
    <col min="22" max="16384" width="19.5703125" style="233"/>
  </cols>
  <sheetData>
    <row r="1" spans="1:21" ht="26.25" customHeight="1" x14ac:dyDescent="0.2">
      <c r="A1" s="371"/>
      <c r="B1" s="371"/>
      <c r="C1" s="372"/>
      <c r="D1" s="358"/>
      <c r="E1" s="372"/>
      <c r="F1" s="373"/>
      <c r="G1" s="357"/>
      <c r="H1" s="357"/>
      <c r="I1" s="357"/>
      <c r="J1" s="357"/>
      <c r="K1" s="357"/>
      <c r="L1" s="357"/>
      <c r="M1" s="541" t="s">
        <v>531</v>
      </c>
      <c r="N1" s="541"/>
      <c r="O1" s="541"/>
      <c r="P1" s="541"/>
      <c r="Q1" s="541"/>
      <c r="R1" s="541"/>
      <c r="S1" s="541"/>
    </row>
    <row r="2" spans="1:21" ht="9" customHeight="1" x14ac:dyDescent="0.2">
      <c r="A2" s="371"/>
      <c r="B2" s="371"/>
      <c r="C2" s="372"/>
      <c r="D2" s="358"/>
      <c r="E2" s="358"/>
      <c r="F2" s="358"/>
      <c r="G2" s="370"/>
      <c r="H2" s="370"/>
      <c r="I2" s="370"/>
      <c r="J2" s="370"/>
      <c r="K2" s="370"/>
      <c r="L2" s="359"/>
      <c r="M2" s="542"/>
      <c r="N2" s="542"/>
      <c r="O2" s="542"/>
      <c r="P2" s="542"/>
      <c r="Q2" s="542"/>
      <c r="R2" s="542"/>
      <c r="S2" s="542"/>
    </row>
    <row r="3" spans="1:21" ht="13.5" customHeight="1" x14ac:dyDescent="0.2">
      <c r="A3" s="371"/>
      <c r="B3" s="371"/>
      <c r="C3" s="372"/>
      <c r="D3" s="358"/>
      <c r="E3" s="358"/>
      <c r="F3" s="372"/>
      <c r="G3" s="370"/>
      <c r="H3" s="370"/>
      <c r="I3" s="545" t="s">
        <v>345</v>
      </c>
      <c r="J3" s="545"/>
      <c r="K3" s="545"/>
      <c r="L3" s="545"/>
      <c r="M3" s="545"/>
      <c r="N3" s="545"/>
      <c r="O3" s="545"/>
      <c r="P3" s="545"/>
      <c r="Q3" s="545"/>
      <c r="R3" s="545"/>
      <c r="S3" s="545"/>
    </row>
    <row r="4" spans="1:21" ht="28.5" customHeight="1" x14ac:dyDescent="0.2">
      <c r="A4" s="539" t="s">
        <v>315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</row>
    <row r="5" spans="1:21" ht="10.5" customHeight="1" x14ac:dyDescent="0.2">
      <c r="A5" s="371"/>
      <c r="B5" s="371"/>
      <c r="C5" s="372"/>
      <c r="D5" s="358"/>
      <c r="E5" s="358"/>
      <c r="F5" s="358"/>
      <c r="G5" s="358"/>
      <c r="H5" s="358"/>
      <c r="I5" s="358"/>
      <c r="J5" s="358"/>
      <c r="K5" s="358"/>
      <c r="L5" s="374"/>
      <c r="M5" s="358"/>
      <c r="N5" s="358"/>
      <c r="O5" s="358"/>
      <c r="P5" s="358"/>
      <c r="Q5" s="358"/>
      <c r="R5" s="358"/>
      <c r="S5" s="375"/>
    </row>
    <row r="6" spans="1:21" s="377" customFormat="1" ht="27.6" customHeight="1" x14ac:dyDescent="0.2">
      <c r="A6" s="911" t="s">
        <v>16</v>
      </c>
      <c r="B6" s="912" t="s">
        <v>15</v>
      </c>
      <c r="C6" s="911" t="s">
        <v>8</v>
      </c>
      <c r="D6" s="911" t="s">
        <v>9</v>
      </c>
      <c r="E6" s="913" t="s">
        <v>311</v>
      </c>
      <c r="F6" s="914"/>
      <c r="G6" s="914"/>
      <c r="H6" s="914"/>
      <c r="I6" s="914"/>
      <c r="J6" s="914"/>
      <c r="K6" s="915"/>
      <c r="L6" s="913" t="s">
        <v>17</v>
      </c>
      <c r="M6" s="914"/>
      <c r="N6" s="914"/>
      <c r="O6" s="914"/>
      <c r="P6" s="914"/>
      <c r="Q6" s="914"/>
      <c r="R6" s="915"/>
      <c r="S6" s="912" t="s">
        <v>14</v>
      </c>
      <c r="T6" s="506"/>
      <c r="U6" s="376"/>
    </row>
    <row r="7" spans="1:21" s="377" customFormat="1" ht="27" customHeight="1" x14ac:dyDescent="0.2">
      <c r="A7" s="911"/>
      <c r="B7" s="917"/>
      <c r="C7" s="911"/>
      <c r="D7" s="911"/>
      <c r="E7" s="918" t="s">
        <v>1</v>
      </c>
      <c r="F7" s="918" t="s">
        <v>342</v>
      </c>
      <c r="G7" s="918" t="s">
        <v>343</v>
      </c>
      <c r="H7" s="918" t="s">
        <v>355</v>
      </c>
      <c r="I7" s="918" t="s">
        <v>356</v>
      </c>
      <c r="J7" s="918" t="s">
        <v>357</v>
      </c>
      <c r="K7" s="918" t="s">
        <v>358</v>
      </c>
      <c r="L7" s="918" t="s">
        <v>321</v>
      </c>
      <c r="M7" s="918">
        <v>2019</v>
      </c>
      <c r="N7" s="918">
        <v>2020</v>
      </c>
      <c r="O7" s="918">
        <v>2021</v>
      </c>
      <c r="P7" s="918">
        <v>2022</v>
      </c>
      <c r="Q7" s="918">
        <v>2023</v>
      </c>
      <c r="R7" s="918">
        <v>2024</v>
      </c>
      <c r="S7" s="917"/>
      <c r="T7" s="507"/>
      <c r="U7" s="376"/>
    </row>
    <row r="8" spans="1:21" s="378" customFormat="1" ht="11.25" customHeight="1" x14ac:dyDescent="0.2">
      <c r="A8" s="919">
        <v>1</v>
      </c>
      <c r="B8" s="919">
        <v>2</v>
      </c>
      <c r="C8" s="919">
        <v>3</v>
      </c>
      <c r="D8" s="919">
        <v>4</v>
      </c>
      <c r="E8" s="919">
        <v>5</v>
      </c>
      <c r="F8" s="919">
        <v>6</v>
      </c>
      <c r="G8" s="919">
        <v>7</v>
      </c>
      <c r="H8" s="919">
        <v>8</v>
      </c>
      <c r="I8" s="919">
        <v>9</v>
      </c>
      <c r="J8" s="919">
        <v>10</v>
      </c>
      <c r="K8" s="919">
        <v>11</v>
      </c>
      <c r="L8" s="919">
        <v>12</v>
      </c>
      <c r="M8" s="919">
        <v>13</v>
      </c>
      <c r="N8" s="919">
        <v>14</v>
      </c>
      <c r="O8" s="919">
        <v>15</v>
      </c>
      <c r="P8" s="919">
        <v>16</v>
      </c>
      <c r="Q8" s="919">
        <v>17</v>
      </c>
      <c r="R8" s="919">
        <v>18</v>
      </c>
      <c r="S8" s="919">
        <v>19</v>
      </c>
      <c r="T8" s="334"/>
      <c r="U8" s="334"/>
    </row>
    <row r="9" spans="1:21" ht="11.25" customHeight="1" x14ac:dyDescent="0.2">
      <c r="A9" s="919"/>
      <c r="B9" s="1013" t="s">
        <v>457</v>
      </c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  <c r="T9" s="334"/>
      <c r="U9" s="334"/>
    </row>
    <row r="10" spans="1:21" ht="10.5" customHeight="1" x14ac:dyDescent="0.2">
      <c r="A10" s="1155">
        <v>1</v>
      </c>
      <c r="B10" s="1156" t="s">
        <v>365</v>
      </c>
      <c r="C10" s="1156"/>
      <c r="D10" s="1156"/>
      <c r="E10" s="1157"/>
      <c r="F10" s="1157"/>
      <c r="G10" s="1157"/>
      <c r="H10" s="1157"/>
      <c r="I10" s="1157"/>
      <c r="J10" s="1157"/>
      <c r="K10" s="1157"/>
      <c r="L10" s="1156"/>
      <c r="M10" s="1156"/>
      <c r="N10" s="1156"/>
      <c r="O10" s="1156"/>
      <c r="P10" s="1156"/>
      <c r="Q10" s="1156"/>
      <c r="R10" s="1156"/>
      <c r="S10" s="1156"/>
      <c r="T10" s="334"/>
      <c r="U10" s="334"/>
    </row>
    <row r="11" spans="1:21" ht="52.15" customHeight="1" x14ac:dyDescent="0.2">
      <c r="A11" s="1158" t="s">
        <v>19</v>
      </c>
      <c r="B11" s="962" t="s">
        <v>567</v>
      </c>
      <c r="C11" s="927" t="s">
        <v>359</v>
      </c>
      <c r="D11" s="1159" t="s">
        <v>316</v>
      </c>
      <c r="E11" s="1042">
        <f>E12+E13</f>
        <v>1372217.6</v>
      </c>
      <c r="F11" s="1042">
        <f t="shared" ref="F11:K11" si="0">F12+F13</f>
        <v>195584.40000000002</v>
      </c>
      <c r="G11" s="1042">
        <f t="shared" si="0"/>
        <v>201276.65000000002</v>
      </c>
      <c r="H11" s="1042">
        <f t="shared" si="0"/>
        <v>238726.40999999997</v>
      </c>
      <c r="I11" s="1042">
        <f t="shared" si="0"/>
        <v>254427.85000000003</v>
      </c>
      <c r="J11" s="1042">
        <f t="shared" si="0"/>
        <v>240104.31000000003</v>
      </c>
      <c r="K11" s="1042">
        <f t="shared" si="0"/>
        <v>242097.98</v>
      </c>
      <c r="L11" s="1007"/>
      <c r="M11" s="1160"/>
      <c r="N11" s="1160"/>
      <c r="O11" s="1160"/>
      <c r="P11" s="1160"/>
      <c r="Q11" s="1160"/>
      <c r="R11" s="1160"/>
      <c r="S11" s="1161"/>
      <c r="T11" s="334"/>
      <c r="U11" s="334"/>
    </row>
    <row r="12" spans="1:21" ht="51" customHeight="1" x14ac:dyDescent="0.2">
      <c r="A12" s="1162"/>
      <c r="B12" s="971"/>
      <c r="C12" s="933"/>
      <c r="D12" s="389" t="s">
        <v>5</v>
      </c>
      <c r="E12" s="1050">
        <f>SUM(F12:K12)</f>
        <v>344929.36</v>
      </c>
      <c r="F12" s="1050">
        <f t="shared" ref="F12:I12" si="1">F15+F37+F46</f>
        <v>57798.149999999994</v>
      </c>
      <c r="G12" s="1050">
        <f t="shared" si="1"/>
        <v>54801.95</v>
      </c>
      <c r="H12" s="1050">
        <f>H15+H37+H46</f>
        <v>57496.619999999995</v>
      </c>
      <c r="I12" s="1050">
        <f t="shared" si="1"/>
        <v>59381.42</v>
      </c>
      <c r="J12" s="1050">
        <f>J15+J37+J46+J49</f>
        <v>57324.000000000007</v>
      </c>
      <c r="K12" s="1050">
        <f>K15+K37+K46+K49</f>
        <v>58127.22</v>
      </c>
      <c r="L12" s="1163"/>
      <c r="M12" s="1164"/>
      <c r="N12" s="1164"/>
      <c r="O12" s="1164"/>
      <c r="P12" s="1164"/>
      <c r="Q12" s="1164"/>
      <c r="R12" s="1164"/>
      <c r="S12" s="1165"/>
      <c r="T12" s="334"/>
      <c r="U12" s="334"/>
    </row>
    <row r="13" spans="1:21" ht="26.45" customHeight="1" x14ac:dyDescent="0.2">
      <c r="A13" s="1166"/>
      <c r="B13" s="1036"/>
      <c r="C13" s="933"/>
      <c r="D13" s="390" t="s">
        <v>6</v>
      </c>
      <c r="E13" s="1055">
        <f>SUM(F13:K13)</f>
        <v>1027288.2400000001</v>
      </c>
      <c r="F13" s="1055">
        <f>F16+F38+F47+F50</f>
        <v>137786.25000000003</v>
      </c>
      <c r="G13" s="1055">
        <f>G16+G38+G47+G50</f>
        <v>146474.70000000001</v>
      </c>
      <c r="H13" s="1055">
        <f>H16+H38+H47+H50</f>
        <v>181229.78999999998</v>
      </c>
      <c r="I13" s="1055">
        <f>I16+I38+I47+I50+I53+I56</f>
        <v>195046.43000000002</v>
      </c>
      <c r="J13" s="1055">
        <f>J16+J38+J47+J50</f>
        <v>182780.31000000003</v>
      </c>
      <c r="K13" s="1055">
        <f>K16+K38+K47+K50</f>
        <v>183970.76</v>
      </c>
      <c r="L13" s="1009"/>
      <c r="M13" s="1167"/>
      <c r="N13" s="1167"/>
      <c r="O13" s="1167"/>
      <c r="P13" s="1167"/>
      <c r="Q13" s="1167"/>
      <c r="R13" s="1167"/>
      <c r="S13" s="1168"/>
      <c r="T13" s="334"/>
      <c r="U13" s="334"/>
    </row>
    <row r="14" spans="1:21" ht="24" customHeight="1" x14ac:dyDescent="0.2">
      <c r="A14" s="553" t="s">
        <v>441</v>
      </c>
      <c r="B14" s="1169" t="s">
        <v>440</v>
      </c>
      <c r="C14" s="933"/>
      <c r="D14" s="1170" t="s">
        <v>316</v>
      </c>
      <c r="E14" s="1050">
        <f>SUM(F14:K14)</f>
        <v>1338519.21</v>
      </c>
      <c r="F14" s="1171">
        <f t="shared" ref="F14:K14" si="2">F15+F16</f>
        <v>195584.40000000002</v>
      </c>
      <c r="G14" s="1171">
        <f>G15+G16</f>
        <v>198676.4</v>
      </c>
      <c r="H14" s="1171">
        <f t="shared" si="2"/>
        <v>232078.39999999997</v>
      </c>
      <c r="I14" s="1171">
        <f>I15+I16</f>
        <v>242914.38</v>
      </c>
      <c r="J14" s="1171">
        <f t="shared" si="2"/>
        <v>233635.98</v>
      </c>
      <c r="K14" s="1171">
        <f t="shared" si="2"/>
        <v>235629.65</v>
      </c>
      <c r="L14" s="1172"/>
      <c r="M14" s="1173"/>
      <c r="N14" s="1173"/>
      <c r="O14" s="1173"/>
      <c r="P14" s="1173"/>
      <c r="Q14" s="1173"/>
      <c r="R14" s="1173"/>
      <c r="S14" s="1174"/>
      <c r="T14" s="350"/>
      <c r="U14" s="334"/>
    </row>
    <row r="15" spans="1:21" ht="16.5" customHeight="1" x14ac:dyDescent="0.2">
      <c r="A15" s="554"/>
      <c r="B15" s="1175"/>
      <c r="C15" s="933"/>
      <c r="D15" s="1068" t="s">
        <v>5</v>
      </c>
      <c r="E15" s="1050">
        <f>SUM(F15:K15)</f>
        <v>344545.12</v>
      </c>
      <c r="F15" s="1050">
        <f t="shared" ref="F15:K16" si="3">F18+F26+F31+F34</f>
        <v>57798.149999999994</v>
      </c>
      <c r="G15" s="1050">
        <f>G18+G26+G31+G34</f>
        <v>54417.71</v>
      </c>
      <c r="H15" s="1050">
        <f>H18+H26+H31+H34</f>
        <v>57496.619999999995</v>
      </c>
      <c r="I15" s="1050">
        <f>I18+I26+I31+I34+I55</f>
        <v>59381.42</v>
      </c>
      <c r="J15" s="1050">
        <f t="shared" si="3"/>
        <v>57324.000000000007</v>
      </c>
      <c r="K15" s="1050">
        <f t="shared" si="3"/>
        <v>58127.22</v>
      </c>
      <c r="L15" s="1176"/>
      <c r="M15" s="1177"/>
      <c r="N15" s="1177"/>
      <c r="O15" s="1177"/>
      <c r="P15" s="1177"/>
      <c r="Q15" s="1177"/>
      <c r="R15" s="1177"/>
      <c r="S15" s="1178"/>
      <c r="T15" s="352"/>
      <c r="U15" s="334"/>
    </row>
    <row r="16" spans="1:21" ht="14.25" customHeight="1" x14ac:dyDescent="0.2">
      <c r="A16" s="554"/>
      <c r="B16" s="1175"/>
      <c r="C16" s="933"/>
      <c r="D16" s="1108" t="s">
        <v>6</v>
      </c>
      <c r="E16" s="1050">
        <f>SUM(F16:K16)</f>
        <v>993974.09000000008</v>
      </c>
      <c r="F16" s="1055">
        <f t="shared" si="3"/>
        <v>137786.25000000003</v>
      </c>
      <c r="G16" s="1055">
        <f t="shared" si="3"/>
        <v>144258.69</v>
      </c>
      <c r="H16" s="1055">
        <f t="shared" si="3"/>
        <v>174581.77999999997</v>
      </c>
      <c r="I16" s="1055">
        <f t="shared" si="3"/>
        <v>183532.96</v>
      </c>
      <c r="J16" s="1055">
        <f t="shared" si="3"/>
        <v>176311.98</v>
      </c>
      <c r="K16" s="1055">
        <f t="shared" si="3"/>
        <v>177502.43</v>
      </c>
      <c r="L16" s="1176"/>
      <c r="M16" s="1177"/>
      <c r="N16" s="1177"/>
      <c r="O16" s="1177"/>
      <c r="P16" s="1177"/>
      <c r="Q16" s="1177"/>
      <c r="R16" s="1177"/>
      <c r="S16" s="1178"/>
      <c r="T16" s="350"/>
      <c r="U16" s="334"/>
    </row>
    <row r="17" spans="1:21" ht="63" customHeight="1" x14ac:dyDescent="0.2">
      <c r="A17" s="554"/>
      <c r="B17" s="1175"/>
      <c r="C17" s="933"/>
      <c r="D17" s="1179"/>
      <c r="E17" s="1042">
        <f>E18+E19</f>
        <v>605274.27</v>
      </c>
      <c r="F17" s="1042">
        <f t="shared" ref="F17:K17" si="4">F18+F19</f>
        <v>94501.63</v>
      </c>
      <c r="G17" s="1180">
        <f t="shared" si="4"/>
        <v>91468.91</v>
      </c>
      <c r="H17" s="1042">
        <f t="shared" si="4"/>
        <v>107989.31999999999</v>
      </c>
      <c r="I17" s="1042">
        <f>I18+I19</f>
        <v>108059.76999999999</v>
      </c>
      <c r="J17" s="1042">
        <f t="shared" si="4"/>
        <v>100633.16</v>
      </c>
      <c r="K17" s="1042">
        <f t="shared" si="4"/>
        <v>102621.48000000001</v>
      </c>
      <c r="L17" s="1181" t="s">
        <v>498</v>
      </c>
      <c r="M17" s="415" t="s">
        <v>368</v>
      </c>
      <c r="N17" s="415" t="s">
        <v>369</v>
      </c>
      <c r="O17" s="415" t="s">
        <v>370</v>
      </c>
      <c r="P17" s="415" t="s">
        <v>371</v>
      </c>
      <c r="Q17" s="415" t="s">
        <v>372</v>
      </c>
      <c r="R17" s="415" t="s">
        <v>373</v>
      </c>
      <c r="S17" s="525" t="s">
        <v>485</v>
      </c>
      <c r="T17" s="334"/>
      <c r="U17" s="334"/>
    </row>
    <row r="18" spans="1:21" ht="102" customHeight="1" x14ac:dyDescent="0.2">
      <c r="A18" s="554"/>
      <c r="B18" s="1175"/>
      <c r="C18" s="933"/>
      <c r="D18" s="1129" t="s">
        <v>5</v>
      </c>
      <c r="E18" s="1050">
        <f>SUM(F18:K18)</f>
        <v>139169.59</v>
      </c>
      <c r="F18" s="1050">
        <f>21646.96+237.52+1089.73+6309.29+257.2+0.01</f>
        <v>29540.71</v>
      </c>
      <c r="G18" s="1182">
        <f>11159.91+263.33+1320.49+7104.83+1400.33+65.84</f>
        <v>21314.73</v>
      </c>
      <c r="H18" s="1050">
        <f>9368.08+349.14+2130+7285.03+149.08-16.61+0.01+800+67.78+2383.75-21.97-13.86+35.83</f>
        <v>22516.26</v>
      </c>
      <c r="I18" s="1050">
        <f>13588.72+447.52+1716.32+7534.83+30.96</f>
        <v>23318.35</v>
      </c>
      <c r="J18" s="1050">
        <f>11751.5+296.35+1224+7535.13+35.24</f>
        <v>20842.22</v>
      </c>
      <c r="K18" s="1050">
        <f>11751.52+296.35+2020+7535.44+34.01</f>
        <v>21637.32</v>
      </c>
      <c r="L18" s="1181" t="s">
        <v>367</v>
      </c>
      <c r="M18" s="409">
        <v>100</v>
      </c>
      <c r="N18" s="409">
        <v>100</v>
      </c>
      <c r="O18" s="409">
        <v>100</v>
      </c>
      <c r="P18" s="409">
        <v>100</v>
      </c>
      <c r="Q18" s="409">
        <v>100</v>
      </c>
      <c r="R18" s="409">
        <v>100</v>
      </c>
      <c r="S18" s="526"/>
      <c r="T18" s="351"/>
      <c r="U18" s="334"/>
    </row>
    <row r="19" spans="1:21" ht="43.5" customHeight="1" x14ac:dyDescent="0.2">
      <c r="A19" s="554"/>
      <c r="B19" s="1175"/>
      <c r="C19" s="933"/>
      <c r="D19" s="1129" t="s">
        <v>6</v>
      </c>
      <c r="E19" s="1050">
        <f>SUM(F19:K19)</f>
        <v>466104.68000000005</v>
      </c>
      <c r="F19" s="1050">
        <f>4897.08+57432.03+2604+27.81</f>
        <v>64960.92</v>
      </c>
      <c r="G19" s="1182">
        <f>1250.98+66984.1+9.6+9.4+1900.1</f>
        <v>70154.180000000008</v>
      </c>
      <c r="H19" s="1050">
        <f>2832.41+74443.4+2604+27.81-6.91-692.7+6580.7-315.65</f>
        <v>85473.06</v>
      </c>
      <c r="I19" s="1050">
        <f>3065.42+79034.22+2134.1+507.68</f>
        <v>84741.42</v>
      </c>
      <c r="J19" s="1050">
        <f>3488.94+74167.9+2134.1</f>
        <v>79790.94</v>
      </c>
      <c r="K19" s="1050">
        <f>3367.16+75482.9+2134.1</f>
        <v>80984.160000000003</v>
      </c>
      <c r="L19" s="1183" t="s">
        <v>425</v>
      </c>
      <c r="M19" s="941">
        <v>70</v>
      </c>
      <c r="N19" s="941">
        <v>70</v>
      </c>
      <c r="O19" s="941">
        <v>70</v>
      </c>
      <c r="P19" s="941">
        <v>70</v>
      </c>
      <c r="Q19" s="941">
        <v>70</v>
      </c>
      <c r="R19" s="941">
        <v>70</v>
      </c>
      <c r="S19" s="526"/>
      <c r="T19" s="334"/>
      <c r="U19" s="334"/>
    </row>
    <row r="20" spans="1:21" ht="23.25" hidden="1" customHeight="1" x14ac:dyDescent="0.2">
      <c r="A20" s="554"/>
      <c r="B20" s="1175"/>
      <c r="C20" s="933"/>
      <c r="D20" s="1184"/>
      <c r="E20" s="1050"/>
      <c r="F20" s="1182"/>
      <c r="G20" s="1050"/>
      <c r="H20" s="1182"/>
      <c r="I20" s="1050"/>
      <c r="J20" s="1050"/>
      <c r="K20" s="1069"/>
      <c r="L20" s="1185"/>
      <c r="M20" s="1186"/>
      <c r="N20" s="1186"/>
      <c r="O20" s="1186"/>
      <c r="P20" s="1186"/>
      <c r="Q20" s="1186"/>
      <c r="R20" s="1186"/>
      <c r="S20" s="1187"/>
      <c r="T20" s="334"/>
      <c r="U20" s="334"/>
    </row>
    <row r="21" spans="1:21" ht="37.5" hidden="1" customHeight="1" x14ac:dyDescent="0.2">
      <c r="A21" s="554"/>
      <c r="B21" s="1175"/>
      <c r="C21" s="933"/>
      <c r="D21" s="1188"/>
      <c r="E21" s="1050"/>
      <c r="F21" s="1182"/>
      <c r="G21" s="1050"/>
      <c r="H21" s="1182"/>
      <c r="I21" s="1050"/>
      <c r="J21" s="1050"/>
      <c r="K21" s="1069"/>
      <c r="L21" s="1189"/>
      <c r="M21" s="1190"/>
      <c r="N21" s="1190"/>
      <c r="O21" s="1190"/>
      <c r="P21" s="1190"/>
      <c r="Q21" s="1190"/>
      <c r="R21" s="1190"/>
      <c r="S21" s="1187"/>
      <c r="T21" s="334"/>
      <c r="U21" s="334"/>
    </row>
    <row r="22" spans="1:21" ht="26.25" hidden="1" customHeight="1" x14ac:dyDescent="0.2">
      <c r="A22" s="554"/>
      <c r="B22" s="1175"/>
      <c r="C22" s="933"/>
      <c r="D22" s="1184"/>
      <c r="E22" s="1050"/>
      <c r="F22" s="1182"/>
      <c r="G22" s="1050"/>
      <c r="H22" s="1182"/>
      <c r="I22" s="1050"/>
      <c r="J22" s="1050"/>
      <c r="K22" s="1069"/>
      <c r="L22" s="1189"/>
      <c r="M22" s="1190"/>
      <c r="N22" s="1190"/>
      <c r="O22" s="1190"/>
      <c r="P22" s="1190"/>
      <c r="Q22" s="1190"/>
      <c r="R22" s="1190"/>
      <c r="S22" s="1187"/>
      <c r="T22" s="334"/>
      <c r="U22" s="334"/>
    </row>
    <row r="23" spans="1:21" ht="47.25" hidden="1" customHeight="1" x14ac:dyDescent="0.2">
      <c r="A23" s="554"/>
      <c r="B23" s="1175"/>
      <c r="C23" s="933"/>
      <c r="D23" s="1191"/>
      <c r="E23" s="1055"/>
      <c r="F23" s="1182"/>
      <c r="G23" s="1055"/>
      <c r="H23" s="1182"/>
      <c r="I23" s="1055"/>
      <c r="J23" s="1055"/>
      <c r="K23" s="1192"/>
      <c r="L23" s="1185"/>
      <c r="M23" s="1186"/>
      <c r="N23" s="1186"/>
      <c r="O23" s="1186"/>
      <c r="P23" s="1186"/>
      <c r="Q23" s="1186"/>
      <c r="R23" s="1186"/>
      <c r="S23" s="1187"/>
      <c r="T23" s="334"/>
      <c r="U23" s="334"/>
    </row>
    <row r="24" spans="1:21" ht="34.15" hidden="1" customHeight="1" x14ac:dyDescent="0.2">
      <c r="A24" s="554"/>
      <c r="B24" s="1175"/>
      <c r="C24" s="933"/>
      <c r="D24" s="1184"/>
      <c r="E24" s="1050"/>
      <c r="F24" s="1182"/>
      <c r="G24" s="1050"/>
      <c r="H24" s="1182"/>
      <c r="I24" s="1050"/>
      <c r="J24" s="1050"/>
      <c r="K24" s="1069"/>
      <c r="L24" s="1183" t="s">
        <v>425</v>
      </c>
      <c r="M24" s="1193">
        <v>70</v>
      </c>
      <c r="N24" s="1193">
        <v>70</v>
      </c>
      <c r="O24" s="1193">
        <v>70</v>
      </c>
      <c r="P24" s="1193">
        <v>72</v>
      </c>
      <c r="Q24" s="1193">
        <v>73</v>
      </c>
      <c r="R24" s="1193">
        <v>75</v>
      </c>
      <c r="S24" s="1194"/>
      <c r="T24" s="334"/>
      <c r="U24" s="334"/>
    </row>
    <row r="25" spans="1:21" ht="24.75" customHeight="1" x14ac:dyDescent="0.2">
      <c r="A25" s="554"/>
      <c r="B25" s="1175"/>
      <c r="C25" s="933"/>
      <c r="D25" s="1170"/>
      <c r="E25" s="1042">
        <f>E26+E27</f>
        <v>636154.16</v>
      </c>
      <c r="F25" s="1042">
        <f t="shared" ref="F25:K25" si="5">F26+F27</f>
        <v>88559.550000000017</v>
      </c>
      <c r="G25" s="1042">
        <f t="shared" si="5"/>
        <v>93494.91</v>
      </c>
      <c r="H25" s="1042">
        <f t="shared" si="5"/>
        <v>107316.08</v>
      </c>
      <c r="I25" s="1042">
        <f>I26+I27</f>
        <v>116486.94</v>
      </c>
      <c r="J25" s="1042">
        <f t="shared" si="5"/>
        <v>115100.40000000001</v>
      </c>
      <c r="K25" s="1042">
        <f t="shared" si="5"/>
        <v>115196.28</v>
      </c>
      <c r="L25" s="1195" t="s">
        <v>389</v>
      </c>
      <c r="M25" s="1196" t="s">
        <v>374</v>
      </c>
      <c r="N25" s="1196" t="s">
        <v>374</v>
      </c>
      <c r="O25" s="1196" t="s">
        <v>374</v>
      </c>
      <c r="P25" s="1196" t="s">
        <v>374</v>
      </c>
      <c r="Q25" s="1196" t="s">
        <v>374</v>
      </c>
      <c r="R25" s="1196" t="s">
        <v>374</v>
      </c>
      <c r="S25" s="553" t="s">
        <v>447</v>
      </c>
      <c r="T25" s="334"/>
      <c r="U25" s="334"/>
    </row>
    <row r="26" spans="1:21" ht="21" customHeight="1" x14ac:dyDescent="0.2">
      <c r="A26" s="554"/>
      <c r="B26" s="1175"/>
      <c r="C26" s="933"/>
      <c r="D26" s="1068" t="s">
        <v>5</v>
      </c>
      <c r="E26" s="1050">
        <f>SUM(F26:K26)</f>
        <v>129358.25</v>
      </c>
      <c r="F26" s="1050">
        <f>6886.03+499.29+1339.83+10263.33+60.98</f>
        <v>19049.46</v>
      </c>
      <c r="G26" s="1050">
        <f>9040.52+606.27+880.54+10133.39+784.06+51.52</f>
        <v>21496.300000000003</v>
      </c>
      <c r="H26" s="1050">
        <f>9271.14+593.56+1250+10538.73+96.34-12.95-260+306+1752.71</f>
        <v>23535.53</v>
      </c>
      <c r="I26" s="1050">
        <f>8036.95+563.01+950+11399.25+22.47</f>
        <v>20971.68</v>
      </c>
      <c r="J26" s="1050">
        <f>9467.24+506.5+1250+10897.68+26.77</f>
        <v>22148.19</v>
      </c>
      <c r="K26" s="1050">
        <f>9476.07+506.51+1250+10898.14+26.37</f>
        <v>22157.09</v>
      </c>
      <c r="L26" s="1197"/>
      <c r="M26" s="1198"/>
      <c r="N26" s="1198"/>
      <c r="O26" s="1198"/>
      <c r="P26" s="1198"/>
      <c r="Q26" s="1198"/>
      <c r="R26" s="1198"/>
      <c r="S26" s="554"/>
      <c r="T26" s="351"/>
      <c r="U26" s="334"/>
    </row>
    <row r="27" spans="1:21" ht="34.5" customHeight="1" x14ac:dyDescent="0.2">
      <c r="A27" s="554"/>
      <c r="B27" s="1175"/>
      <c r="C27" s="933"/>
      <c r="D27" s="1068" t="s">
        <v>6</v>
      </c>
      <c r="E27" s="1050">
        <f>SUM(F27:K27)</f>
        <v>506795.91000000003</v>
      </c>
      <c r="F27" s="1050">
        <f>1104.32+68405.77</f>
        <v>69510.090000000011</v>
      </c>
      <c r="G27" s="1050">
        <f>40+978.91+70979.7</f>
        <v>71998.61</v>
      </c>
      <c r="H27" s="1050">
        <f>1830.53+72921.8+9274.3-246.08</f>
        <v>83780.55</v>
      </c>
      <c r="I27" s="1050">
        <f>2224.95+93797.98+0.01-507.68</f>
        <v>95515.26</v>
      </c>
      <c r="J27" s="1050">
        <f>2650.21+90302</f>
        <v>92952.21</v>
      </c>
      <c r="K27" s="1050">
        <f>2610.89+90428.3</f>
        <v>93039.19</v>
      </c>
      <c r="L27" s="1199"/>
      <c r="M27" s="1200"/>
      <c r="N27" s="1200"/>
      <c r="O27" s="1200"/>
      <c r="P27" s="1200"/>
      <c r="Q27" s="1200"/>
      <c r="R27" s="1200"/>
      <c r="S27" s="554"/>
      <c r="T27" s="334"/>
      <c r="U27" s="334"/>
    </row>
    <row r="28" spans="1:21" ht="58.5" customHeight="1" x14ac:dyDescent="0.2">
      <c r="A28" s="554"/>
      <c r="B28" s="1175"/>
      <c r="C28" s="933"/>
      <c r="D28" s="1068"/>
      <c r="E28" s="1050"/>
      <c r="F28" s="1050"/>
      <c r="G28" s="1050"/>
      <c r="H28" s="1050"/>
      <c r="I28" s="1050"/>
      <c r="J28" s="1050"/>
      <c r="K28" s="1069"/>
      <c r="L28" s="1201" t="s">
        <v>375</v>
      </c>
      <c r="M28" s="410">
        <v>94</v>
      </c>
      <c r="N28" s="410">
        <v>100</v>
      </c>
      <c r="O28" s="410">
        <v>100</v>
      </c>
      <c r="P28" s="410">
        <v>100</v>
      </c>
      <c r="Q28" s="410">
        <v>100</v>
      </c>
      <c r="R28" s="410">
        <v>100</v>
      </c>
      <c r="S28" s="1202"/>
      <c r="T28" s="334"/>
      <c r="U28" s="334"/>
    </row>
    <row r="29" spans="1:21" ht="60" customHeight="1" x14ac:dyDescent="0.2">
      <c r="A29" s="554"/>
      <c r="B29" s="1175"/>
      <c r="C29" s="933"/>
      <c r="D29" s="1203"/>
      <c r="E29" s="1050"/>
      <c r="F29" s="1050"/>
      <c r="G29" s="1050"/>
      <c r="H29" s="1050"/>
      <c r="I29" s="1050"/>
      <c r="J29" s="1050"/>
      <c r="K29" s="1050"/>
      <c r="L29" s="1204" t="s">
        <v>529</v>
      </c>
      <c r="M29" s="1205" t="s">
        <v>530</v>
      </c>
      <c r="N29" s="1205" t="s">
        <v>530</v>
      </c>
      <c r="O29" s="1205" t="s">
        <v>530</v>
      </c>
      <c r="P29" s="1205" t="s">
        <v>530</v>
      </c>
      <c r="Q29" s="1205" t="s">
        <v>530</v>
      </c>
      <c r="R29" s="1205" t="s">
        <v>530</v>
      </c>
      <c r="S29" s="1202"/>
      <c r="T29" s="334"/>
      <c r="U29" s="334"/>
    </row>
    <row r="30" spans="1:21" ht="48" customHeight="1" x14ac:dyDescent="0.2">
      <c r="A30" s="554"/>
      <c r="B30" s="1175"/>
      <c r="C30" s="933"/>
      <c r="D30" s="1206"/>
      <c r="E30" s="1042">
        <f t="shared" ref="E30:K30" si="6">E31+E32</f>
        <v>96837.890000000014</v>
      </c>
      <c r="F30" s="1042">
        <f t="shared" si="6"/>
        <v>12485.93</v>
      </c>
      <c r="G30" s="1042">
        <f t="shared" si="6"/>
        <v>13684.08</v>
      </c>
      <c r="H30" s="1042">
        <f t="shared" si="6"/>
        <v>16746.100000000002</v>
      </c>
      <c r="I30" s="1042">
        <f>I31+I32</f>
        <v>18314.27</v>
      </c>
      <c r="J30" s="1042">
        <f t="shared" si="6"/>
        <v>17849.02</v>
      </c>
      <c r="K30" s="1042">
        <f t="shared" si="6"/>
        <v>17758.490000000002</v>
      </c>
      <c r="L30" s="1204" t="s">
        <v>376</v>
      </c>
      <c r="M30" s="1207">
        <v>84</v>
      </c>
      <c r="N30" s="1207">
        <v>84</v>
      </c>
      <c r="O30" s="1207">
        <v>84</v>
      </c>
      <c r="P30" s="1207">
        <v>85</v>
      </c>
      <c r="Q30" s="1207">
        <v>85</v>
      </c>
      <c r="R30" s="1207">
        <v>85</v>
      </c>
      <c r="S30" s="1208" t="s">
        <v>459</v>
      </c>
      <c r="T30" s="334"/>
      <c r="U30" s="334"/>
    </row>
    <row r="31" spans="1:21" ht="21" customHeight="1" x14ac:dyDescent="0.2">
      <c r="A31" s="554"/>
      <c r="B31" s="1175"/>
      <c r="C31" s="933"/>
      <c r="D31" s="1203" t="s">
        <v>5</v>
      </c>
      <c r="E31" s="1050">
        <f>SUM(F31:K31)</f>
        <v>76017.280000000013</v>
      </c>
      <c r="F31" s="1182">
        <f>7751.51+41.73+364.41+878.04+172.29</f>
        <v>9207.98</v>
      </c>
      <c r="G31" s="1050">
        <f>9959.81+59.46+89.4+908.04+480.6+109.37</f>
        <v>11606.68</v>
      </c>
      <c r="H31" s="1050">
        <f>9065.57+57.41+390+944.36+144.11+134.9+113.08+2.7+592.7</f>
        <v>11444.830000000002</v>
      </c>
      <c r="I31" s="1050">
        <f>13793.49+64.12+219.34+981.89+32.55</f>
        <v>15091.39</v>
      </c>
      <c r="J31" s="1050">
        <f>12852.03+64.12+400+981.93+35.51</f>
        <v>14333.590000000002</v>
      </c>
      <c r="K31" s="1050">
        <f>12852.11+64.12+400+981.97+34.61</f>
        <v>14332.810000000001</v>
      </c>
      <c r="L31" s="1169" t="s">
        <v>390</v>
      </c>
      <c r="M31" s="1209">
        <v>90</v>
      </c>
      <c r="N31" s="1209">
        <v>90</v>
      </c>
      <c r="O31" s="1209">
        <v>90</v>
      </c>
      <c r="P31" s="1209">
        <v>90</v>
      </c>
      <c r="Q31" s="1209">
        <v>90</v>
      </c>
      <c r="R31" s="1209">
        <v>90</v>
      </c>
      <c r="S31" s="1210"/>
      <c r="T31" s="334"/>
      <c r="U31" s="334"/>
    </row>
    <row r="32" spans="1:21" ht="21" customHeight="1" x14ac:dyDescent="0.2">
      <c r="A32" s="554"/>
      <c r="B32" s="1175"/>
      <c r="C32" s="933"/>
      <c r="D32" s="1203" t="s">
        <v>6</v>
      </c>
      <c r="E32" s="1050">
        <f>SUM(F32:K32)</f>
        <v>20820.61</v>
      </c>
      <c r="F32" s="1182">
        <f>3277.95</f>
        <v>3277.95</v>
      </c>
      <c r="G32" s="1050">
        <f>2077.4</f>
        <v>2077.4</v>
      </c>
      <c r="H32" s="1050">
        <f>2738.13+2563.14</f>
        <v>5301.27</v>
      </c>
      <c r="I32" s="1050">
        <f>3222.88</f>
        <v>3222.88</v>
      </c>
      <c r="J32" s="1050">
        <f>3515.43</f>
        <v>3515.43</v>
      </c>
      <c r="K32" s="1050">
        <v>3425.68</v>
      </c>
      <c r="L32" s="991"/>
      <c r="M32" s="1211"/>
      <c r="N32" s="1211"/>
      <c r="O32" s="1211"/>
      <c r="P32" s="1211"/>
      <c r="Q32" s="1211"/>
      <c r="R32" s="1211"/>
      <c r="S32" s="1210"/>
      <c r="T32" s="334"/>
      <c r="U32" s="334"/>
    </row>
    <row r="33" spans="1:21" ht="31.9" customHeight="1" x14ac:dyDescent="0.2">
      <c r="A33" s="554"/>
      <c r="B33" s="1175"/>
      <c r="C33" s="933"/>
      <c r="D33" s="1179"/>
      <c r="E33" s="1042">
        <f t="shared" ref="E33:K33" si="7">E34+E35</f>
        <v>252.89000000000001</v>
      </c>
      <c r="F33" s="1042">
        <f t="shared" si="7"/>
        <v>37.29</v>
      </c>
      <c r="G33" s="1042">
        <f t="shared" si="7"/>
        <v>28.5</v>
      </c>
      <c r="H33" s="1042">
        <f t="shared" si="7"/>
        <v>26.9</v>
      </c>
      <c r="I33" s="1042">
        <f t="shared" si="7"/>
        <v>53.4</v>
      </c>
      <c r="J33" s="1042">
        <f t="shared" si="7"/>
        <v>53.4</v>
      </c>
      <c r="K33" s="1042">
        <f t="shared" si="7"/>
        <v>53.4</v>
      </c>
      <c r="L33" s="488" t="s">
        <v>494</v>
      </c>
      <c r="M33" s="491">
        <v>100</v>
      </c>
      <c r="N33" s="491">
        <v>100</v>
      </c>
      <c r="O33" s="491">
        <v>100</v>
      </c>
      <c r="P33" s="491">
        <v>100</v>
      </c>
      <c r="Q33" s="491">
        <v>100</v>
      </c>
      <c r="R33" s="491">
        <v>100</v>
      </c>
      <c r="S33" s="525" t="s">
        <v>317</v>
      </c>
      <c r="T33" s="334"/>
      <c r="U33" s="334"/>
    </row>
    <row r="34" spans="1:21" ht="12.6" customHeight="1" x14ac:dyDescent="0.2">
      <c r="A34" s="554"/>
      <c r="B34" s="1175"/>
      <c r="C34" s="933"/>
      <c r="D34" s="1203" t="s">
        <v>5</v>
      </c>
      <c r="E34" s="1050">
        <f>SUM(F34:K34)</f>
        <v>0</v>
      </c>
      <c r="F34" s="1069">
        <v>0</v>
      </c>
      <c r="G34" s="1069">
        <v>0</v>
      </c>
      <c r="H34" s="1069">
        <v>0</v>
      </c>
      <c r="I34" s="1069">
        <v>0</v>
      </c>
      <c r="J34" s="1069">
        <v>0</v>
      </c>
      <c r="K34" s="1069">
        <v>0</v>
      </c>
      <c r="L34" s="489"/>
      <c r="M34" s="492"/>
      <c r="N34" s="492"/>
      <c r="O34" s="492"/>
      <c r="P34" s="492"/>
      <c r="Q34" s="492"/>
      <c r="R34" s="492"/>
      <c r="S34" s="526"/>
      <c r="T34" s="334"/>
      <c r="U34" s="334"/>
    </row>
    <row r="35" spans="1:21" ht="49.5" customHeight="1" x14ac:dyDescent="0.2">
      <c r="A35" s="555"/>
      <c r="B35" s="1212"/>
      <c r="C35" s="933"/>
      <c r="D35" s="1068" t="s">
        <v>6</v>
      </c>
      <c r="E35" s="1050">
        <f>SUM(F35:K35)</f>
        <v>252.89000000000001</v>
      </c>
      <c r="F35" s="1050">
        <v>37.29</v>
      </c>
      <c r="G35" s="1069">
        <f>28.5</f>
        <v>28.5</v>
      </c>
      <c r="H35" s="1069">
        <f>37.29-10.39</f>
        <v>26.9</v>
      </c>
      <c r="I35" s="1069">
        <v>53.4</v>
      </c>
      <c r="J35" s="1069">
        <v>53.4</v>
      </c>
      <c r="K35" s="1069">
        <v>53.4</v>
      </c>
      <c r="L35" s="490"/>
      <c r="M35" s="493"/>
      <c r="N35" s="493"/>
      <c r="O35" s="493"/>
      <c r="P35" s="493"/>
      <c r="Q35" s="493"/>
      <c r="R35" s="493"/>
      <c r="S35" s="527"/>
      <c r="T35" s="334"/>
      <c r="U35" s="334"/>
    </row>
    <row r="36" spans="1:21" ht="16.149999999999999" customHeight="1" x14ac:dyDescent="0.2">
      <c r="A36" s="553" t="s">
        <v>442</v>
      </c>
      <c r="B36" s="1169" t="s">
        <v>443</v>
      </c>
      <c r="C36" s="933"/>
      <c r="D36" s="1170" t="s">
        <v>316</v>
      </c>
      <c r="E36" s="1042">
        <f>E37+E38</f>
        <v>384.24</v>
      </c>
      <c r="F36" s="1042">
        <f t="shared" ref="F36:K36" si="8">F37+F38</f>
        <v>0</v>
      </c>
      <c r="G36" s="1042">
        <f t="shared" si="8"/>
        <v>384.24</v>
      </c>
      <c r="H36" s="1042">
        <f t="shared" si="8"/>
        <v>0</v>
      </c>
      <c r="I36" s="1042">
        <f t="shared" si="8"/>
        <v>0</v>
      </c>
      <c r="J36" s="1042">
        <f t="shared" si="8"/>
        <v>0</v>
      </c>
      <c r="K36" s="1042">
        <f t="shared" si="8"/>
        <v>0</v>
      </c>
      <c r="L36" s="379"/>
      <c r="M36" s="380"/>
      <c r="N36" s="380"/>
      <c r="O36" s="380"/>
      <c r="P36" s="519"/>
      <c r="Q36" s="519"/>
      <c r="R36" s="519"/>
      <c r="S36" s="520"/>
      <c r="T36" s="334"/>
      <c r="U36" s="334"/>
    </row>
    <row r="37" spans="1:21" ht="14.25" customHeight="1" x14ac:dyDescent="0.2">
      <c r="A37" s="554"/>
      <c r="B37" s="1175"/>
      <c r="C37" s="933"/>
      <c r="D37" s="1068" t="s">
        <v>5</v>
      </c>
      <c r="E37" s="1050">
        <f>SUM(F37:K37)</f>
        <v>384.24</v>
      </c>
      <c r="F37" s="1050">
        <f t="shared" ref="F37:K38" si="9">F40+F43</f>
        <v>0</v>
      </c>
      <c r="G37" s="1050">
        <f t="shared" si="9"/>
        <v>384.24</v>
      </c>
      <c r="H37" s="1050">
        <f t="shared" si="9"/>
        <v>0</v>
      </c>
      <c r="I37" s="1050">
        <f t="shared" si="9"/>
        <v>0</v>
      </c>
      <c r="J37" s="1050">
        <f t="shared" si="9"/>
        <v>0</v>
      </c>
      <c r="K37" s="1050">
        <f t="shared" si="9"/>
        <v>0</v>
      </c>
      <c r="L37" s="381"/>
      <c r="M37" s="382"/>
      <c r="N37" s="382"/>
      <c r="O37" s="382"/>
      <c r="P37" s="521"/>
      <c r="Q37" s="521"/>
      <c r="R37" s="521"/>
      <c r="S37" s="522"/>
      <c r="T37" s="334"/>
      <c r="U37" s="334"/>
    </row>
    <row r="38" spans="1:21" ht="12" customHeight="1" x14ac:dyDescent="0.2">
      <c r="A38" s="555"/>
      <c r="B38" s="1212"/>
      <c r="C38" s="933"/>
      <c r="D38" s="1068" t="s">
        <v>6</v>
      </c>
      <c r="E38" s="1050">
        <f>SUM(F38:K38)</f>
        <v>0</v>
      </c>
      <c r="F38" s="1050">
        <f t="shared" si="9"/>
        <v>0</v>
      </c>
      <c r="G38" s="1050">
        <f t="shared" si="9"/>
        <v>0</v>
      </c>
      <c r="H38" s="1050">
        <f t="shared" si="9"/>
        <v>0</v>
      </c>
      <c r="I38" s="1050">
        <f t="shared" si="9"/>
        <v>0</v>
      </c>
      <c r="J38" s="1050">
        <f t="shared" si="9"/>
        <v>0</v>
      </c>
      <c r="K38" s="1050">
        <f t="shared" si="9"/>
        <v>0</v>
      </c>
      <c r="L38" s="383"/>
      <c r="M38" s="384"/>
      <c r="N38" s="384"/>
      <c r="O38" s="384"/>
      <c r="P38" s="523"/>
      <c r="Q38" s="523"/>
      <c r="R38" s="523"/>
      <c r="S38" s="524"/>
      <c r="T38" s="334"/>
      <c r="U38" s="334"/>
    </row>
    <row r="39" spans="1:21" ht="12" customHeight="1" x14ac:dyDescent="0.2">
      <c r="A39" s="553" t="s">
        <v>444</v>
      </c>
      <c r="B39" s="1169" t="s">
        <v>437</v>
      </c>
      <c r="C39" s="933"/>
      <c r="D39" s="1022"/>
      <c r="E39" s="388">
        <f>E40+E41</f>
        <v>155</v>
      </c>
      <c r="F39" s="388">
        <f t="shared" ref="F39:K39" si="10">F40+F41</f>
        <v>0</v>
      </c>
      <c r="G39" s="388">
        <f t="shared" si="10"/>
        <v>155</v>
      </c>
      <c r="H39" s="388">
        <f t="shared" si="10"/>
        <v>0</v>
      </c>
      <c r="I39" s="388">
        <f t="shared" si="10"/>
        <v>0</v>
      </c>
      <c r="J39" s="388">
        <f t="shared" si="10"/>
        <v>0</v>
      </c>
      <c r="K39" s="388">
        <f t="shared" si="10"/>
        <v>0</v>
      </c>
      <c r="L39" s="381"/>
      <c r="M39" s="382"/>
      <c r="N39" s="382"/>
      <c r="O39" s="382"/>
      <c r="P39" s="382"/>
      <c r="Q39" s="382"/>
      <c r="R39" s="385"/>
      <c r="S39" s="525" t="s">
        <v>493</v>
      </c>
      <c r="T39" s="334"/>
      <c r="U39" s="334"/>
    </row>
    <row r="40" spans="1:21" ht="12" customHeight="1" x14ac:dyDescent="0.2">
      <c r="A40" s="554"/>
      <c r="B40" s="1175"/>
      <c r="C40" s="933"/>
      <c r="D40" s="389" t="s">
        <v>5</v>
      </c>
      <c r="E40" s="354">
        <f>SUM(F40:K40)</f>
        <v>155</v>
      </c>
      <c r="F40" s="354">
        <v>0</v>
      </c>
      <c r="G40" s="354">
        <v>155</v>
      </c>
      <c r="H40" s="354">
        <v>0</v>
      </c>
      <c r="I40" s="354">
        <v>0</v>
      </c>
      <c r="J40" s="354">
        <v>0</v>
      </c>
      <c r="K40" s="354">
        <v>0</v>
      </c>
      <c r="L40" s="381"/>
      <c r="M40" s="382"/>
      <c r="N40" s="382"/>
      <c r="O40" s="382"/>
      <c r="P40" s="382"/>
      <c r="Q40" s="382"/>
      <c r="R40" s="385"/>
      <c r="S40" s="526"/>
      <c r="T40" s="334"/>
      <c r="U40" s="334"/>
    </row>
    <row r="41" spans="1:21" ht="23.25" customHeight="1" x14ac:dyDescent="0.2">
      <c r="A41" s="555"/>
      <c r="B41" s="1212"/>
      <c r="C41" s="933"/>
      <c r="D41" s="390" t="s">
        <v>6</v>
      </c>
      <c r="E41" s="355">
        <f>SUM(F41:K41)</f>
        <v>0</v>
      </c>
      <c r="F41" s="355">
        <v>0</v>
      </c>
      <c r="G41" s="355">
        <v>0</v>
      </c>
      <c r="H41" s="355">
        <v>0</v>
      </c>
      <c r="I41" s="355">
        <v>0</v>
      </c>
      <c r="J41" s="355">
        <v>0</v>
      </c>
      <c r="K41" s="355">
        <v>0</v>
      </c>
      <c r="L41" s="381"/>
      <c r="M41" s="382"/>
      <c r="N41" s="382"/>
      <c r="O41" s="382"/>
      <c r="P41" s="382"/>
      <c r="Q41" s="382"/>
      <c r="R41" s="385"/>
      <c r="S41" s="526"/>
      <c r="T41" s="334"/>
      <c r="U41" s="334"/>
    </row>
    <row r="42" spans="1:21" ht="13.9" customHeight="1" x14ac:dyDescent="0.2">
      <c r="A42" s="553" t="s">
        <v>445</v>
      </c>
      <c r="B42" s="1169" t="s">
        <v>436</v>
      </c>
      <c r="C42" s="933"/>
      <c r="D42" s="389"/>
      <c r="E42" s="388">
        <f>E43+E44</f>
        <v>229.24</v>
      </c>
      <c r="F42" s="388">
        <f t="shared" ref="F42:K42" si="11">F43+F44</f>
        <v>0</v>
      </c>
      <c r="G42" s="388">
        <f t="shared" si="11"/>
        <v>229.24</v>
      </c>
      <c r="H42" s="388">
        <f t="shared" si="11"/>
        <v>0</v>
      </c>
      <c r="I42" s="388">
        <f t="shared" si="11"/>
        <v>0</v>
      </c>
      <c r="J42" s="388">
        <f t="shared" si="11"/>
        <v>0</v>
      </c>
      <c r="K42" s="388">
        <f t="shared" si="11"/>
        <v>0</v>
      </c>
      <c r="L42" s="381"/>
      <c r="M42" s="382"/>
      <c r="N42" s="382"/>
      <c r="O42" s="382"/>
      <c r="P42" s="382"/>
      <c r="Q42" s="382"/>
      <c r="R42" s="385"/>
      <c r="S42" s="526"/>
      <c r="T42" s="334"/>
      <c r="U42" s="334"/>
    </row>
    <row r="43" spans="1:21" ht="11.45" customHeight="1" x14ac:dyDescent="0.2">
      <c r="A43" s="554"/>
      <c r="B43" s="1175"/>
      <c r="C43" s="933"/>
      <c r="D43" s="389" t="s">
        <v>5</v>
      </c>
      <c r="E43" s="354">
        <f>SUM(F43:K43)</f>
        <v>229.24</v>
      </c>
      <c r="F43" s="354">
        <v>0</v>
      </c>
      <c r="G43" s="354">
        <v>229.24</v>
      </c>
      <c r="H43" s="354">
        <v>0</v>
      </c>
      <c r="I43" s="354">
        <v>0</v>
      </c>
      <c r="J43" s="354">
        <v>0</v>
      </c>
      <c r="K43" s="354">
        <v>0</v>
      </c>
      <c r="L43" s="381"/>
      <c r="M43" s="382"/>
      <c r="N43" s="382"/>
      <c r="O43" s="382"/>
      <c r="P43" s="382"/>
      <c r="Q43" s="382"/>
      <c r="R43" s="385"/>
      <c r="S43" s="526"/>
      <c r="T43" s="334"/>
      <c r="U43" s="334"/>
    </row>
    <row r="44" spans="1:21" ht="27.75" customHeight="1" x14ac:dyDescent="0.2">
      <c r="A44" s="555"/>
      <c r="B44" s="1212"/>
      <c r="C44" s="933"/>
      <c r="D44" s="390" t="s">
        <v>6</v>
      </c>
      <c r="E44" s="355">
        <f>SUM(F44:K44)</f>
        <v>0</v>
      </c>
      <c r="F44" s="355">
        <v>0</v>
      </c>
      <c r="G44" s="355">
        <v>0</v>
      </c>
      <c r="H44" s="355">
        <v>0</v>
      </c>
      <c r="I44" s="355">
        <v>0</v>
      </c>
      <c r="J44" s="355">
        <v>0</v>
      </c>
      <c r="K44" s="355">
        <v>0</v>
      </c>
      <c r="L44" s="383"/>
      <c r="M44" s="384"/>
      <c r="N44" s="384"/>
      <c r="O44" s="384"/>
      <c r="P44" s="384"/>
      <c r="Q44" s="384"/>
      <c r="R44" s="386"/>
      <c r="S44" s="527"/>
      <c r="T44" s="334"/>
      <c r="U44" s="334"/>
    </row>
    <row r="45" spans="1:21" ht="21" customHeight="1" x14ac:dyDescent="0.2">
      <c r="A45" s="553" t="s">
        <v>446</v>
      </c>
      <c r="B45" s="1169" t="s">
        <v>527</v>
      </c>
      <c r="C45" s="933"/>
      <c r="D45" s="1170"/>
      <c r="E45" s="1042">
        <f>E46+E47</f>
        <v>27039.93</v>
      </c>
      <c r="F45" s="1042">
        <f t="shared" ref="F45:K45" si="12">F46+F47</f>
        <v>0</v>
      </c>
      <c r="G45" s="1042">
        <f t="shared" si="12"/>
        <v>2119.66</v>
      </c>
      <c r="H45" s="1042">
        <f t="shared" si="12"/>
        <v>6358.97</v>
      </c>
      <c r="I45" s="1042">
        <f t="shared" si="12"/>
        <v>6187.1</v>
      </c>
      <c r="J45" s="1042">
        <f t="shared" si="12"/>
        <v>6187.1</v>
      </c>
      <c r="K45" s="1042">
        <f t="shared" si="12"/>
        <v>6187.1</v>
      </c>
      <c r="L45" s="488" t="s">
        <v>528</v>
      </c>
      <c r="M45" s="491">
        <v>0</v>
      </c>
      <c r="N45" s="491">
        <v>100</v>
      </c>
      <c r="O45" s="1213">
        <v>100</v>
      </c>
      <c r="P45" s="491">
        <v>100</v>
      </c>
      <c r="Q45" s="491">
        <v>100</v>
      </c>
      <c r="R45" s="491">
        <v>100</v>
      </c>
      <c r="S45" s="525" t="s">
        <v>447</v>
      </c>
      <c r="T45" s="334"/>
      <c r="U45" s="334"/>
    </row>
    <row r="46" spans="1:21" ht="15.6" customHeight="1" x14ac:dyDescent="0.2">
      <c r="A46" s="554"/>
      <c r="B46" s="1175"/>
      <c r="C46" s="933"/>
      <c r="D46" s="389" t="s">
        <v>5</v>
      </c>
      <c r="E46" s="1050">
        <f>SUM(F46:K46)</f>
        <v>0</v>
      </c>
      <c r="F46" s="1050">
        <v>0</v>
      </c>
      <c r="G46" s="1050">
        <v>0</v>
      </c>
      <c r="H46" s="1050">
        <v>0</v>
      </c>
      <c r="I46" s="1050">
        <v>0</v>
      </c>
      <c r="J46" s="1050">
        <v>0</v>
      </c>
      <c r="K46" s="1050">
        <v>0</v>
      </c>
      <c r="L46" s="489"/>
      <c r="M46" s="492"/>
      <c r="N46" s="492"/>
      <c r="O46" s="1214"/>
      <c r="P46" s="492"/>
      <c r="Q46" s="492"/>
      <c r="R46" s="492"/>
      <c r="S46" s="526"/>
      <c r="T46" s="334"/>
      <c r="U46" s="334"/>
    </row>
    <row r="47" spans="1:21" ht="48.75" customHeight="1" x14ac:dyDescent="0.2">
      <c r="A47" s="555"/>
      <c r="B47" s="1212"/>
      <c r="C47" s="933"/>
      <c r="D47" s="390" t="s">
        <v>6</v>
      </c>
      <c r="E47" s="1055">
        <f>SUM(F47:K47)</f>
        <v>27039.93</v>
      </c>
      <c r="F47" s="1055">
        <v>0</v>
      </c>
      <c r="G47" s="1055">
        <f>2119.66</f>
        <v>2119.66</v>
      </c>
      <c r="H47" s="1055">
        <f>6358.97</f>
        <v>6358.97</v>
      </c>
      <c r="I47" s="1055">
        <f>6187.1</f>
        <v>6187.1</v>
      </c>
      <c r="J47" s="1055">
        <f>6187.1</f>
        <v>6187.1</v>
      </c>
      <c r="K47" s="1055">
        <f>6187.1</f>
        <v>6187.1</v>
      </c>
      <c r="L47" s="490"/>
      <c r="M47" s="493"/>
      <c r="N47" s="493"/>
      <c r="O47" s="1215"/>
      <c r="P47" s="493"/>
      <c r="Q47" s="493"/>
      <c r="R47" s="493"/>
      <c r="S47" s="527"/>
      <c r="T47" s="334"/>
      <c r="U47" s="334"/>
    </row>
    <row r="48" spans="1:21" ht="30.75" customHeight="1" x14ac:dyDescent="0.2">
      <c r="A48" s="553" t="s">
        <v>526</v>
      </c>
      <c r="B48" s="1169" t="s">
        <v>568</v>
      </c>
      <c r="C48" s="933"/>
      <c r="D48" s="1170"/>
      <c r="E48" s="1042">
        <f>E49+E50</f>
        <v>1229.08</v>
      </c>
      <c r="F48" s="1042">
        <f t="shared" ref="F48:K48" si="13">F49+F50</f>
        <v>0</v>
      </c>
      <c r="G48" s="1042">
        <f t="shared" si="13"/>
        <v>96.35</v>
      </c>
      <c r="H48" s="1042">
        <f t="shared" si="13"/>
        <v>289.04000000000002</v>
      </c>
      <c r="I48" s="1042">
        <f t="shared" si="13"/>
        <v>281.23</v>
      </c>
      <c r="J48" s="1042">
        <f t="shared" si="13"/>
        <v>281.23</v>
      </c>
      <c r="K48" s="1042">
        <f t="shared" si="13"/>
        <v>281.23</v>
      </c>
      <c r="L48" s="488" t="s">
        <v>528</v>
      </c>
      <c r="M48" s="491">
        <v>0</v>
      </c>
      <c r="N48" s="491">
        <v>100</v>
      </c>
      <c r="O48" s="491">
        <v>100</v>
      </c>
      <c r="P48" s="491">
        <v>100</v>
      </c>
      <c r="Q48" s="491">
        <v>100</v>
      </c>
      <c r="R48" s="491">
        <v>100</v>
      </c>
      <c r="S48" s="525" t="s">
        <v>447</v>
      </c>
      <c r="T48" s="334"/>
      <c r="U48" s="334"/>
    </row>
    <row r="49" spans="1:21" ht="15" customHeight="1" x14ac:dyDescent="0.2">
      <c r="A49" s="554"/>
      <c r="B49" s="1175"/>
      <c r="C49" s="933"/>
      <c r="D49" s="389" t="s">
        <v>5</v>
      </c>
      <c r="E49" s="1050">
        <f>SUM(F49:K49)</f>
        <v>0</v>
      </c>
      <c r="F49" s="1050">
        <v>0</v>
      </c>
      <c r="G49" s="1050">
        <v>0</v>
      </c>
      <c r="H49" s="1050">
        <v>0</v>
      </c>
      <c r="I49" s="1050">
        <v>0</v>
      </c>
      <c r="J49" s="1050">
        <v>0</v>
      </c>
      <c r="K49" s="1050">
        <v>0</v>
      </c>
      <c r="L49" s="489"/>
      <c r="M49" s="492"/>
      <c r="N49" s="492"/>
      <c r="O49" s="492"/>
      <c r="P49" s="492"/>
      <c r="Q49" s="492"/>
      <c r="R49" s="492"/>
      <c r="S49" s="526"/>
      <c r="T49" s="334"/>
      <c r="U49" s="334"/>
    </row>
    <row r="50" spans="1:21" ht="46.5" customHeight="1" x14ac:dyDescent="0.2">
      <c r="A50" s="555"/>
      <c r="B50" s="1212"/>
      <c r="C50" s="960"/>
      <c r="D50" s="390" t="s">
        <v>6</v>
      </c>
      <c r="E50" s="1055">
        <f>SUM(F50:K50)</f>
        <v>1229.08</v>
      </c>
      <c r="F50" s="1055">
        <v>0</v>
      </c>
      <c r="G50" s="1055">
        <v>96.35</v>
      </c>
      <c r="H50" s="1055">
        <v>289.04000000000002</v>
      </c>
      <c r="I50" s="1055">
        <f>281.23</f>
        <v>281.23</v>
      </c>
      <c r="J50" s="1055">
        <f>281.23</f>
        <v>281.23</v>
      </c>
      <c r="K50" s="1055">
        <f>281.23</f>
        <v>281.23</v>
      </c>
      <c r="L50" s="490"/>
      <c r="M50" s="493"/>
      <c r="N50" s="493"/>
      <c r="O50" s="493"/>
      <c r="P50" s="493"/>
      <c r="Q50" s="493"/>
      <c r="R50" s="493"/>
      <c r="S50" s="527"/>
      <c r="T50" s="334"/>
      <c r="U50" s="334"/>
    </row>
    <row r="51" spans="1:21" ht="30.75" customHeight="1" x14ac:dyDescent="0.2">
      <c r="A51" s="553" t="s">
        <v>535</v>
      </c>
      <c r="B51" s="1169" t="s">
        <v>569</v>
      </c>
      <c r="C51" s="927"/>
      <c r="D51" s="1170"/>
      <c r="E51" s="1042">
        <f>E52+E53</f>
        <v>5033.4399999999996</v>
      </c>
      <c r="F51" s="1042">
        <f t="shared" ref="F51:K51" si="14">F52+F53</f>
        <v>0</v>
      </c>
      <c r="G51" s="1042">
        <f t="shared" si="14"/>
        <v>0</v>
      </c>
      <c r="H51" s="1042">
        <f t="shared" si="14"/>
        <v>0</v>
      </c>
      <c r="I51" s="1042">
        <f t="shared" si="14"/>
        <v>5033.4399999999996</v>
      </c>
      <c r="J51" s="1042">
        <f t="shared" si="14"/>
        <v>0</v>
      </c>
      <c r="K51" s="1042">
        <f t="shared" si="14"/>
        <v>0</v>
      </c>
      <c r="L51" s="488" t="s">
        <v>528</v>
      </c>
      <c r="M51" s="491">
        <v>0</v>
      </c>
      <c r="N51" s="491">
        <v>0</v>
      </c>
      <c r="O51" s="491">
        <v>0</v>
      </c>
      <c r="P51" s="491">
        <v>100</v>
      </c>
      <c r="Q51" s="491">
        <v>0</v>
      </c>
      <c r="R51" s="491">
        <v>0</v>
      </c>
      <c r="S51" s="525" t="s">
        <v>447</v>
      </c>
      <c r="T51" s="334"/>
      <c r="U51" s="334"/>
    </row>
    <row r="52" spans="1:21" ht="15" customHeight="1" x14ac:dyDescent="0.2">
      <c r="A52" s="554"/>
      <c r="B52" s="1175"/>
      <c r="C52" s="933"/>
      <c r="D52" s="389" t="s">
        <v>5</v>
      </c>
      <c r="E52" s="1050">
        <f>SUM(F52:K52)</f>
        <v>0</v>
      </c>
      <c r="F52" s="1050">
        <v>0</v>
      </c>
      <c r="G52" s="1050">
        <v>0</v>
      </c>
      <c r="H52" s="1050">
        <v>0</v>
      </c>
      <c r="I52" s="1050">
        <v>0</v>
      </c>
      <c r="J52" s="1050">
        <v>0</v>
      </c>
      <c r="K52" s="1050">
        <v>0</v>
      </c>
      <c r="L52" s="489"/>
      <c r="M52" s="492"/>
      <c r="N52" s="492"/>
      <c r="O52" s="492"/>
      <c r="P52" s="492"/>
      <c r="Q52" s="492"/>
      <c r="R52" s="492"/>
      <c r="S52" s="526"/>
      <c r="T52" s="334"/>
      <c r="U52" s="334"/>
    </row>
    <row r="53" spans="1:21" ht="46.5" customHeight="1" x14ac:dyDescent="0.2">
      <c r="A53" s="555"/>
      <c r="B53" s="1212"/>
      <c r="C53" s="960"/>
      <c r="D53" s="390" t="s">
        <v>6</v>
      </c>
      <c r="E53" s="1055">
        <f>SUM(F53:K53)</f>
        <v>5033.4399999999996</v>
      </c>
      <c r="F53" s="1055">
        <v>0</v>
      </c>
      <c r="G53" s="1055">
        <v>0</v>
      </c>
      <c r="H53" s="1055">
        <v>0</v>
      </c>
      <c r="I53" s="1055">
        <f>5033.44</f>
        <v>5033.4399999999996</v>
      </c>
      <c r="J53" s="1055">
        <v>0</v>
      </c>
      <c r="K53" s="1055">
        <v>0</v>
      </c>
      <c r="L53" s="490"/>
      <c r="M53" s="493"/>
      <c r="N53" s="493"/>
      <c r="O53" s="493"/>
      <c r="P53" s="493"/>
      <c r="Q53" s="493"/>
      <c r="R53" s="493"/>
      <c r="S53" s="527"/>
      <c r="T53" s="334"/>
      <c r="U53" s="334"/>
    </row>
    <row r="54" spans="1:21" ht="30.75" customHeight="1" x14ac:dyDescent="0.2">
      <c r="A54" s="553" t="s">
        <v>549</v>
      </c>
      <c r="B54" s="1169" t="s">
        <v>550</v>
      </c>
      <c r="C54" s="927"/>
      <c r="D54" s="1170"/>
      <c r="E54" s="1042">
        <f>E55+E56</f>
        <v>11.7</v>
      </c>
      <c r="F54" s="1042">
        <f t="shared" ref="F54:K54" si="15">F55+F56</f>
        <v>0</v>
      </c>
      <c r="G54" s="1042">
        <f t="shared" si="15"/>
        <v>0</v>
      </c>
      <c r="H54" s="1042">
        <f t="shared" si="15"/>
        <v>0</v>
      </c>
      <c r="I54" s="1042">
        <f t="shared" si="15"/>
        <v>11.7</v>
      </c>
      <c r="J54" s="1042">
        <f t="shared" si="15"/>
        <v>0</v>
      </c>
      <c r="K54" s="1042">
        <f t="shared" si="15"/>
        <v>0</v>
      </c>
      <c r="L54" s="488" t="s">
        <v>528</v>
      </c>
      <c r="M54" s="491">
        <v>0</v>
      </c>
      <c r="N54" s="491">
        <v>0</v>
      </c>
      <c r="O54" s="491">
        <v>0</v>
      </c>
      <c r="P54" s="491">
        <v>100</v>
      </c>
      <c r="Q54" s="491">
        <v>0</v>
      </c>
      <c r="R54" s="491">
        <v>0</v>
      </c>
      <c r="S54" s="525" t="s">
        <v>447</v>
      </c>
      <c r="T54" s="334"/>
      <c r="U54" s="334"/>
    </row>
    <row r="55" spans="1:21" ht="15" customHeight="1" x14ac:dyDescent="0.2">
      <c r="A55" s="554"/>
      <c r="B55" s="1175"/>
      <c r="C55" s="933"/>
      <c r="D55" s="389" t="s">
        <v>5</v>
      </c>
      <c r="E55" s="1050">
        <f>SUM(F55:K55)</f>
        <v>0</v>
      </c>
      <c r="F55" s="1050">
        <v>0</v>
      </c>
      <c r="G55" s="1050">
        <v>0</v>
      </c>
      <c r="H55" s="1050">
        <v>0</v>
      </c>
      <c r="I55" s="1050">
        <v>0</v>
      </c>
      <c r="J55" s="1050">
        <v>0</v>
      </c>
      <c r="K55" s="1050">
        <v>0</v>
      </c>
      <c r="L55" s="489"/>
      <c r="M55" s="492"/>
      <c r="N55" s="492"/>
      <c r="O55" s="492"/>
      <c r="P55" s="492"/>
      <c r="Q55" s="492"/>
      <c r="R55" s="492"/>
      <c r="S55" s="526"/>
      <c r="T55" s="334"/>
      <c r="U55" s="334"/>
    </row>
    <row r="56" spans="1:21" ht="46.5" customHeight="1" x14ac:dyDescent="0.2">
      <c r="A56" s="555"/>
      <c r="B56" s="1212"/>
      <c r="C56" s="960"/>
      <c r="D56" s="390" t="s">
        <v>6</v>
      </c>
      <c r="E56" s="1055">
        <f>SUM(F56:K56)</f>
        <v>11.7</v>
      </c>
      <c r="F56" s="1055">
        <v>0</v>
      </c>
      <c r="G56" s="1055">
        <v>0</v>
      </c>
      <c r="H56" s="1055">
        <v>0</v>
      </c>
      <c r="I56" s="1055">
        <v>11.7</v>
      </c>
      <c r="J56" s="1055">
        <v>0</v>
      </c>
      <c r="K56" s="1055">
        <v>0</v>
      </c>
      <c r="L56" s="490"/>
      <c r="M56" s="493"/>
      <c r="N56" s="493"/>
      <c r="O56" s="493"/>
      <c r="P56" s="493"/>
      <c r="Q56" s="493"/>
      <c r="R56" s="493"/>
      <c r="S56" s="527"/>
      <c r="T56" s="334"/>
      <c r="U56" s="334"/>
    </row>
    <row r="57" spans="1:21" ht="12.75" customHeight="1" x14ac:dyDescent="0.2">
      <c r="A57" s="1216" t="s">
        <v>24</v>
      </c>
      <c r="B57" s="1217" t="s">
        <v>366</v>
      </c>
      <c r="C57" s="1218"/>
      <c r="D57" s="1218"/>
      <c r="E57" s="1218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9"/>
      <c r="T57" s="334"/>
      <c r="U57" s="334"/>
    </row>
    <row r="58" spans="1:21" ht="31.5" customHeight="1" x14ac:dyDescent="0.2">
      <c r="A58" s="553" t="s">
        <v>26</v>
      </c>
      <c r="B58" s="1169" t="s">
        <v>318</v>
      </c>
      <c r="C58" s="927" t="s">
        <v>359</v>
      </c>
      <c r="D58" s="1220" t="s">
        <v>316</v>
      </c>
      <c r="E58" s="1221">
        <f t="shared" ref="E58:K58" si="16">SUM(E59:E61)</f>
        <v>84</v>
      </c>
      <c r="F58" s="1221">
        <f t="shared" si="16"/>
        <v>14</v>
      </c>
      <c r="G58" s="1221">
        <f t="shared" si="16"/>
        <v>14</v>
      </c>
      <c r="H58" s="1221">
        <f t="shared" si="16"/>
        <v>14</v>
      </c>
      <c r="I58" s="1221">
        <f t="shared" si="16"/>
        <v>14</v>
      </c>
      <c r="J58" s="1221">
        <f t="shared" si="16"/>
        <v>14</v>
      </c>
      <c r="K58" s="1221">
        <f t="shared" si="16"/>
        <v>14</v>
      </c>
      <c r="L58" s="1169" t="s">
        <v>377</v>
      </c>
      <c r="M58" s="1222">
        <v>33</v>
      </c>
      <c r="N58" s="1222">
        <v>35</v>
      </c>
      <c r="O58" s="1222">
        <v>35</v>
      </c>
      <c r="P58" s="1222">
        <v>35</v>
      </c>
      <c r="Q58" s="1222">
        <v>35</v>
      </c>
      <c r="R58" s="1222">
        <v>35</v>
      </c>
      <c r="S58" s="525" t="s">
        <v>307</v>
      </c>
      <c r="T58" s="350"/>
      <c r="U58" s="334"/>
    </row>
    <row r="59" spans="1:21" ht="44.25" customHeight="1" x14ac:dyDescent="0.2">
      <c r="A59" s="1223"/>
      <c r="B59" s="1224"/>
      <c r="C59" s="1225"/>
      <c r="D59" s="1068" t="s">
        <v>5</v>
      </c>
      <c r="E59" s="1226">
        <f>SUM(F59:K59)</f>
        <v>84</v>
      </c>
      <c r="F59" s="1226">
        <v>14</v>
      </c>
      <c r="G59" s="1226">
        <v>14</v>
      </c>
      <c r="H59" s="1226">
        <v>14</v>
      </c>
      <c r="I59" s="1226">
        <v>14</v>
      </c>
      <c r="J59" s="1226">
        <v>14</v>
      </c>
      <c r="K59" s="1226">
        <v>14</v>
      </c>
      <c r="L59" s="1212"/>
      <c r="M59" s="1227"/>
      <c r="N59" s="1227"/>
      <c r="O59" s="1227"/>
      <c r="P59" s="1227"/>
      <c r="Q59" s="1227"/>
      <c r="R59" s="1227"/>
      <c r="S59" s="1228"/>
      <c r="T59" s="351"/>
      <c r="U59" s="334"/>
    </row>
    <row r="60" spans="1:21" ht="18.600000000000001" customHeight="1" x14ac:dyDescent="0.2">
      <c r="A60" s="1223"/>
      <c r="B60" s="1224"/>
      <c r="C60" s="1225"/>
      <c r="D60" s="1037" t="s">
        <v>6</v>
      </c>
      <c r="E60" s="1229">
        <f>SUM(F60:K61)</f>
        <v>0</v>
      </c>
      <c r="F60" s="1229">
        <v>0</v>
      </c>
      <c r="G60" s="1229">
        <v>0</v>
      </c>
      <c r="H60" s="1229">
        <v>0</v>
      </c>
      <c r="I60" s="1229">
        <v>0</v>
      </c>
      <c r="J60" s="1229">
        <v>0</v>
      </c>
      <c r="K60" s="1229">
        <v>0</v>
      </c>
      <c r="L60" s="1169" t="s">
        <v>378</v>
      </c>
      <c r="M60" s="1222">
        <v>33</v>
      </c>
      <c r="N60" s="1222">
        <v>35</v>
      </c>
      <c r="O60" s="1222">
        <v>35</v>
      </c>
      <c r="P60" s="1222">
        <v>35</v>
      </c>
      <c r="Q60" s="1222">
        <v>35</v>
      </c>
      <c r="R60" s="1222">
        <v>35</v>
      </c>
      <c r="S60" s="1228"/>
      <c r="T60" s="334"/>
      <c r="U60" s="334"/>
    </row>
    <row r="61" spans="1:21" ht="25.5" customHeight="1" x14ac:dyDescent="0.2">
      <c r="A61" s="1230"/>
      <c r="B61" s="1231"/>
      <c r="C61" s="1232"/>
      <c r="D61" s="1026"/>
      <c r="E61" s="1233"/>
      <c r="F61" s="1233"/>
      <c r="G61" s="1233"/>
      <c r="H61" s="1233"/>
      <c r="I61" s="1233"/>
      <c r="J61" s="1233"/>
      <c r="K61" s="1233"/>
      <c r="L61" s="991"/>
      <c r="M61" s="1227"/>
      <c r="N61" s="1227"/>
      <c r="O61" s="1227"/>
      <c r="P61" s="1227"/>
      <c r="Q61" s="1227"/>
      <c r="R61" s="1227"/>
      <c r="S61" s="1234"/>
      <c r="T61" s="334"/>
      <c r="U61" s="334"/>
    </row>
    <row r="62" spans="1:21" ht="12" customHeight="1" x14ac:dyDescent="0.2">
      <c r="A62" s="1235" t="s">
        <v>28</v>
      </c>
      <c r="B62" s="1217" t="s">
        <v>361</v>
      </c>
      <c r="C62" s="1218"/>
      <c r="D62" s="1218"/>
      <c r="E62" s="1218"/>
      <c r="F62" s="1218"/>
      <c r="G62" s="1218"/>
      <c r="H62" s="1218"/>
      <c r="I62" s="1218"/>
      <c r="J62" s="1218"/>
      <c r="K62" s="1218"/>
      <c r="L62" s="1218"/>
      <c r="M62" s="1218"/>
      <c r="N62" s="1218"/>
      <c r="O62" s="1218"/>
      <c r="P62" s="1218"/>
      <c r="Q62" s="1218"/>
      <c r="R62" s="1218"/>
      <c r="S62" s="1219"/>
      <c r="T62" s="334"/>
      <c r="U62" s="334"/>
    </row>
    <row r="63" spans="1:21" ht="21" customHeight="1" x14ac:dyDescent="0.2">
      <c r="A63" s="553" t="s">
        <v>30</v>
      </c>
      <c r="B63" s="1236" t="s">
        <v>319</v>
      </c>
      <c r="C63" s="1021" t="s">
        <v>359</v>
      </c>
      <c r="D63" s="1220" t="s">
        <v>316</v>
      </c>
      <c r="E63" s="356">
        <f t="shared" ref="E63:K63" si="17">E64+E65</f>
        <v>37080.930000000008</v>
      </c>
      <c r="F63" s="356">
        <f t="shared" si="17"/>
        <v>3508.29</v>
      </c>
      <c r="G63" s="356">
        <f t="shared" si="17"/>
        <v>4164.24</v>
      </c>
      <c r="H63" s="356">
        <f>H64+H65</f>
        <v>6778.4</v>
      </c>
      <c r="I63" s="356">
        <f t="shared" si="17"/>
        <v>8175.21</v>
      </c>
      <c r="J63" s="356">
        <f t="shared" si="17"/>
        <v>7112.8200000000006</v>
      </c>
      <c r="K63" s="356">
        <f t="shared" si="17"/>
        <v>7341.9699999999993</v>
      </c>
      <c r="L63" s="1237"/>
      <c r="M63" s="1237"/>
      <c r="N63" s="1237"/>
      <c r="O63" s="1237"/>
      <c r="P63" s="1237"/>
      <c r="Q63" s="1237"/>
      <c r="R63" s="1237"/>
      <c r="S63" s="1237"/>
      <c r="T63" s="350"/>
      <c r="U63" s="334"/>
    </row>
    <row r="64" spans="1:21" ht="13.5" customHeight="1" x14ac:dyDescent="0.2">
      <c r="A64" s="1223"/>
      <c r="B64" s="1238"/>
      <c r="C64" s="1035"/>
      <c r="D64" s="1068" t="s">
        <v>5</v>
      </c>
      <c r="E64" s="1239">
        <f>F64+G64+H64+I64+J64+K64</f>
        <v>3911.6900000000005</v>
      </c>
      <c r="F64" s="1239">
        <f t="shared" ref="F64:K65" si="18">F67+F70+F73</f>
        <v>1650.5900000000001</v>
      </c>
      <c r="G64" s="1239">
        <f t="shared" si="18"/>
        <v>594.54</v>
      </c>
      <c r="H64" s="1239">
        <f>H67+H70+H73</f>
        <v>460.54999999999995</v>
      </c>
      <c r="I64" s="1239">
        <f t="shared" si="18"/>
        <v>407.21</v>
      </c>
      <c r="J64" s="1239">
        <f t="shared" si="18"/>
        <v>398.56</v>
      </c>
      <c r="K64" s="1239">
        <f t="shared" si="18"/>
        <v>400.24</v>
      </c>
      <c r="L64" s="1237"/>
      <c r="M64" s="1237"/>
      <c r="N64" s="1237"/>
      <c r="O64" s="1237"/>
      <c r="P64" s="1237"/>
      <c r="Q64" s="1237"/>
      <c r="R64" s="1237"/>
      <c r="S64" s="1237"/>
      <c r="T64" s="351"/>
      <c r="U64" s="351"/>
    </row>
    <row r="65" spans="1:21" ht="13.5" customHeight="1" x14ac:dyDescent="0.2">
      <c r="A65" s="1230"/>
      <c r="B65" s="1238"/>
      <c r="C65" s="1035"/>
      <c r="D65" s="1108" t="s">
        <v>6</v>
      </c>
      <c r="E65" s="1239">
        <f>F65+G65+H65+I65+J65+K65</f>
        <v>33169.240000000005</v>
      </c>
      <c r="F65" s="1240">
        <f t="shared" si="18"/>
        <v>1857.6999999999998</v>
      </c>
      <c r="G65" s="1240">
        <f t="shared" si="18"/>
        <v>3569.7</v>
      </c>
      <c r="H65" s="1240">
        <f t="shared" si="18"/>
        <v>6317.8499999999995</v>
      </c>
      <c r="I65" s="1240">
        <f t="shared" si="18"/>
        <v>7768</v>
      </c>
      <c r="J65" s="1240">
        <f t="shared" si="18"/>
        <v>6714.26</v>
      </c>
      <c r="K65" s="1240">
        <f t="shared" si="18"/>
        <v>6941.73</v>
      </c>
      <c r="L65" s="1237"/>
      <c r="M65" s="1237"/>
      <c r="N65" s="1237"/>
      <c r="O65" s="1237"/>
      <c r="P65" s="1237"/>
      <c r="Q65" s="1237"/>
      <c r="R65" s="1237"/>
      <c r="S65" s="1237"/>
      <c r="T65" s="351"/>
      <c r="U65" s="351"/>
    </row>
    <row r="66" spans="1:21" ht="16.5" customHeight="1" x14ac:dyDescent="0.2">
      <c r="A66" s="553" t="s">
        <v>406</v>
      </c>
      <c r="B66" s="1236" t="s">
        <v>408</v>
      </c>
      <c r="C66" s="1035"/>
      <c r="D66" s="1220"/>
      <c r="E66" s="356">
        <f t="shared" ref="E66:K66" si="19">E67+E68</f>
        <v>11090.85</v>
      </c>
      <c r="F66" s="356">
        <f t="shared" si="19"/>
        <v>3009.02</v>
      </c>
      <c r="G66" s="356">
        <f t="shared" si="19"/>
        <v>1823.6299999999999</v>
      </c>
      <c r="H66" s="356">
        <f t="shared" si="19"/>
        <v>1594.3999999999999</v>
      </c>
      <c r="I66" s="356">
        <f t="shared" si="19"/>
        <v>1672.5</v>
      </c>
      <c r="J66" s="356">
        <f t="shared" si="19"/>
        <v>1465.1</v>
      </c>
      <c r="K66" s="356">
        <f t="shared" si="19"/>
        <v>1526.2</v>
      </c>
      <c r="L66" s="1195" t="s">
        <v>497</v>
      </c>
      <c r="M66" s="493">
        <v>90</v>
      </c>
      <c r="N66" s="493">
        <v>90</v>
      </c>
      <c r="O66" s="493">
        <v>90</v>
      </c>
      <c r="P66" s="493">
        <v>90</v>
      </c>
      <c r="Q66" s="493">
        <v>90</v>
      </c>
      <c r="R66" s="493">
        <v>90</v>
      </c>
      <c r="S66" s="1237" t="s">
        <v>448</v>
      </c>
      <c r="T66" s="350"/>
      <c r="U66" s="334"/>
    </row>
    <row r="67" spans="1:21" ht="13.5" customHeight="1" x14ac:dyDescent="0.2">
      <c r="A67" s="1223"/>
      <c r="B67" s="1238"/>
      <c r="C67" s="1035"/>
      <c r="D67" s="1068" t="s">
        <v>5</v>
      </c>
      <c r="E67" s="1239">
        <f>SUM(F67:K67)</f>
        <v>1716.45</v>
      </c>
      <c r="F67" s="1239">
        <v>1361.92</v>
      </c>
      <c r="G67" s="1239">
        <f>354.53</f>
        <v>354.53</v>
      </c>
      <c r="H67" s="1239">
        <v>0</v>
      </c>
      <c r="I67" s="1239">
        <v>0</v>
      </c>
      <c r="J67" s="1239">
        <v>0</v>
      </c>
      <c r="K67" s="1239">
        <v>0</v>
      </c>
      <c r="L67" s="1197"/>
      <c r="M67" s="948"/>
      <c r="N67" s="948"/>
      <c r="O67" s="948"/>
      <c r="P67" s="948"/>
      <c r="Q67" s="948"/>
      <c r="R67" s="948"/>
      <c r="S67" s="1237"/>
      <c r="T67" s="351"/>
      <c r="U67" s="351"/>
    </row>
    <row r="68" spans="1:21" ht="15" customHeight="1" x14ac:dyDescent="0.2">
      <c r="A68" s="1230"/>
      <c r="B68" s="1238"/>
      <c r="C68" s="1035"/>
      <c r="D68" s="1108" t="s">
        <v>6</v>
      </c>
      <c r="E68" s="1239">
        <f>SUM(F68:K68)</f>
        <v>9374.4</v>
      </c>
      <c r="F68" s="1240">
        <v>1647.1</v>
      </c>
      <c r="G68" s="1240">
        <f>1469.1</f>
        <v>1469.1</v>
      </c>
      <c r="H68" s="1240">
        <f>1632.6-38.2</f>
        <v>1594.3999999999999</v>
      </c>
      <c r="I68" s="1240">
        <f>1412.8+259.7</f>
        <v>1672.5</v>
      </c>
      <c r="J68" s="1240">
        <v>1465.1</v>
      </c>
      <c r="K68" s="1240">
        <v>1526.2</v>
      </c>
      <c r="L68" s="1197"/>
      <c r="M68" s="948"/>
      <c r="N68" s="948"/>
      <c r="O68" s="948"/>
      <c r="P68" s="948"/>
      <c r="Q68" s="948"/>
      <c r="R68" s="948"/>
      <c r="S68" s="1237"/>
      <c r="T68" s="351"/>
      <c r="U68" s="351"/>
    </row>
    <row r="69" spans="1:21" ht="18.75" customHeight="1" x14ac:dyDescent="0.2">
      <c r="A69" s="553" t="s">
        <v>407</v>
      </c>
      <c r="B69" s="1236" t="s">
        <v>452</v>
      </c>
      <c r="C69" s="1035"/>
      <c r="D69" s="1220"/>
      <c r="E69" s="356">
        <f>E70+E71</f>
        <v>22705.8</v>
      </c>
      <c r="F69" s="356">
        <f t="shared" ref="F69:K69" si="20">F70+F71</f>
        <v>0</v>
      </c>
      <c r="G69" s="356">
        <f t="shared" si="20"/>
        <v>1893.88</v>
      </c>
      <c r="H69" s="356">
        <f t="shared" si="20"/>
        <v>4566.4799999999996</v>
      </c>
      <c r="I69" s="356">
        <f t="shared" si="20"/>
        <v>5937.98</v>
      </c>
      <c r="J69" s="356">
        <f t="shared" si="20"/>
        <v>5074.3</v>
      </c>
      <c r="K69" s="356">
        <f t="shared" si="20"/>
        <v>5233.16</v>
      </c>
      <c r="L69" s="1197"/>
      <c r="M69" s="948"/>
      <c r="N69" s="948"/>
      <c r="O69" s="948"/>
      <c r="P69" s="948"/>
      <c r="Q69" s="948"/>
      <c r="R69" s="948"/>
      <c r="S69" s="1237"/>
      <c r="T69" s="350"/>
      <c r="U69" s="334"/>
    </row>
    <row r="70" spans="1:21" ht="13.5" customHeight="1" x14ac:dyDescent="0.2">
      <c r="A70" s="1223"/>
      <c r="B70" s="1238"/>
      <c r="C70" s="1035"/>
      <c r="D70" s="1068" t="s">
        <v>5</v>
      </c>
      <c r="E70" s="1239">
        <f>F70+G70+H70+I70+J70+K70</f>
        <v>291.76</v>
      </c>
      <c r="F70" s="1239">
        <v>0</v>
      </c>
      <c r="G70" s="1239">
        <f>3.3+34.58</f>
        <v>37.879999999999995</v>
      </c>
      <c r="H70" s="1239">
        <f>91.27+9.74-9.68</f>
        <v>91.329999999999984</v>
      </c>
      <c r="I70" s="1239">
        <f>6.38+53.1</f>
        <v>59.480000000000004</v>
      </c>
      <c r="J70" s="1239">
        <f>44.56+6.18</f>
        <v>50.74</v>
      </c>
      <c r="K70" s="1239">
        <f>45.81+6.52</f>
        <v>52.33</v>
      </c>
      <c r="L70" s="1197"/>
      <c r="M70" s="948"/>
      <c r="N70" s="948"/>
      <c r="O70" s="948"/>
      <c r="P70" s="948"/>
      <c r="Q70" s="948"/>
      <c r="R70" s="948"/>
      <c r="S70" s="1237"/>
      <c r="T70" s="351"/>
      <c r="U70" s="351"/>
    </row>
    <row r="71" spans="1:21" ht="24" customHeight="1" x14ac:dyDescent="0.2">
      <c r="A71" s="1223"/>
      <c r="B71" s="1238"/>
      <c r="C71" s="1035"/>
      <c r="D71" s="1108" t="s">
        <v>6</v>
      </c>
      <c r="E71" s="1239">
        <f>F71+G71+H71+I71+J71+K71</f>
        <v>22414.04</v>
      </c>
      <c r="F71" s="1240">
        <v>0</v>
      </c>
      <c r="G71" s="1240">
        <f>161.6+1694.4</f>
        <v>1856</v>
      </c>
      <c r="H71" s="1240">
        <f>477.4+4472.06-474.31</f>
        <v>4475.1499999999996</v>
      </c>
      <c r="I71" s="1240">
        <f>631.2+5247.3</f>
        <v>5878.5</v>
      </c>
      <c r="J71" s="1240">
        <f>612.1+4411.46</f>
        <v>5023.5600000000004</v>
      </c>
      <c r="K71" s="1240">
        <f>645.4+4535.43</f>
        <v>5180.83</v>
      </c>
      <c r="L71" s="1199"/>
      <c r="M71" s="948"/>
      <c r="N71" s="948"/>
      <c r="O71" s="948"/>
      <c r="P71" s="948"/>
      <c r="Q71" s="948"/>
      <c r="R71" s="948"/>
      <c r="S71" s="1237"/>
      <c r="T71" s="351"/>
      <c r="U71" s="351"/>
    </row>
    <row r="72" spans="1:21" ht="18.75" customHeight="1" x14ac:dyDescent="0.2">
      <c r="A72" s="553" t="s">
        <v>451</v>
      </c>
      <c r="B72" s="1236" t="s">
        <v>409</v>
      </c>
      <c r="C72" s="1035"/>
      <c r="D72" s="1220"/>
      <c r="E72" s="356">
        <f t="shared" ref="E72:K72" si="21">E73+E74</f>
        <v>3284.2799999999997</v>
      </c>
      <c r="F72" s="356">
        <f>F73+F74</f>
        <v>499.27</v>
      </c>
      <c r="G72" s="356">
        <f>G73+G74</f>
        <v>446.73</v>
      </c>
      <c r="H72" s="356">
        <f>H73+H74</f>
        <v>617.52</v>
      </c>
      <c r="I72" s="356">
        <f t="shared" si="21"/>
        <v>564.73</v>
      </c>
      <c r="J72" s="356">
        <f t="shared" si="21"/>
        <v>573.41999999999996</v>
      </c>
      <c r="K72" s="356">
        <f t="shared" si="21"/>
        <v>582.61</v>
      </c>
      <c r="L72" s="1241"/>
      <c r="M72" s="519"/>
      <c r="N72" s="519"/>
      <c r="O72" s="519"/>
      <c r="P72" s="519"/>
      <c r="Q72" s="519"/>
      <c r="R72" s="519"/>
      <c r="S72" s="520"/>
      <c r="T72" s="350"/>
      <c r="U72" s="334"/>
    </row>
    <row r="73" spans="1:21" ht="13.5" customHeight="1" x14ac:dyDescent="0.2">
      <c r="A73" s="1223"/>
      <c r="B73" s="1238"/>
      <c r="C73" s="1035"/>
      <c r="D73" s="1068" t="s">
        <v>5</v>
      </c>
      <c r="E73" s="1239">
        <f>F73+G73+H73+I73+J73+K73</f>
        <v>1903.48</v>
      </c>
      <c r="F73" s="1239">
        <v>288.67</v>
      </c>
      <c r="G73" s="1239">
        <f>189.07+13.06</f>
        <v>202.13</v>
      </c>
      <c r="H73" s="1239">
        <f>355.96+13.26</f>
        <v>369.21999999999997</v>
      </c>
      <c r="I73" s="1239">
        <f>345.53+2.2</f>
        <v>347.72999999999996</v>
      </c>
      <c r="J73" s="1239">
        <f>345.54+2.28</f>
        <v>347.82</v>
      </c>
      <c r="K73" s="1239">
        <f>345.54+2.37</f>
        <v>347.91</v>
      </c>
      <c r="L73" s="1242"/>
      <c r="M73" s="521"/>
      <c r="N73" s="521"/>
      <c r="O73" s="521"/>
      <c r="P73" s="521"/>
      <c r="Q73" s="521"/>
      <c r="R73" s="521"/>
      <c r="S73" s="522"/>
      <c r="T73" s="351"/>
      <c r="U73" s="351"/>
    </row>
    <row r="74" spans="1:21" ht="25.9" customHeight="1" x14ac:dyDescent="0.2">
      <c r="A74" s="1223"/>
      <c r="B74" s="1238"/>
      <c r="C74" s="1035"/>
      <c r="D74" s="1108" t="s">
        <v>6</v>
      </c>
      <c r="E74" s="1239">
        <f>F74+G74+H74+I74+J74+K74</f>
        <v>1380.8</v>
      </c>
      <c r="F74" s="1240">
        <v>210.6</v>
      </c>
      <c r="G74" s="1240">
        <f>244.6</f>
        <v>244.6</v>
      </c>
      <c r="H74" s="1240">
        <f>248.3</f>
        <v>248.3</v>
      </c>
      <c r="I74" s="1240">
        <v>217</v>
      </c>
      <c r="J74" s="1240">
        <v>225.6</v>
      </c>
      <c r="K74" s="1240">
        <v>234.7</v>
      </c>
      <c r="L74" s="1242"/>
      <c r="M74" s="521"/>
      <c r="N74" s="521"/>
      <c r="O74" s="521"/>
      <c r="P74" s="521"/>
      <c r="Q74" s="521"/>
      <c r="R74" s="521"/>
      <c r="S74" s="522"/>
      <c r="T74" s="351"/>
      <c r="U74" s="351"/>
    </row>
    <row r="75" spans="1:21" ht="16.5" hidden="1" customHeight="1" x14ac:dyDescent="0.2">
      <c r="A75" s="1223"/>
      <c r="B75" s="1238"/>
      <c r="C75" s="1035"/>
      <c r="D75" s="1243"/>
      <c r="E75" s="1226"/>
      <c r="F75" s="1226"/>
      <c r="G75" s="1226"/>
      <c r="H75" s="1226"/>
      <c r="I75" s="1226"/>
      <c r="J75" s="1226"/>
      <c r="K75" s="1226"/>
      <c r="L75" s="1244"/>
      <c r="M75" s="1237"/>
      <c r="N75" s="1237"/>
      <c r="O75" s="1237"/>
      <c r="P75" s="1237"/>
      <c r="Q75" s="416"/>
      <c r="R75" s="416"/>
      <c r="S75" s="1245"/>
      <c r="T75" s="334"/>
      <c r="U75" s="334"/>
    </row>
    <row r="76" spans="1:21" ht="0.6" hidden="1" customHeight="1" x14ac:dyDescent="0.2">
      <c r="A76" s="1230"/>
      <c r="B76" s="1246"/>
      <c r="C76" s="1037"/>
      <c r="D76" s="1243"/>
      <c r="E76" s="1226"/>
      <c r="F76" s="1226"/>
      <c r="G76" s="1226"/>
      <c r="H76" s="1226"/>
      <c r="I76" s="1226"/>
      <c r="J76" s="1226"/>
      <c r="K76" s="1226"/>
      <c r="L76" s="488"/>
      <c r="M76" s="1247"/>
      <c r="N76" s="1247"/>
      <c r="O76" s="1247"/>
      <c r="P76" s="1247"/>
      <c r="Q76" s="1248"/>
      <c r="R76" s="1248"/>
      <c r="S76" s="1249"/>
      <c r="T76" s="334"/>
      <c r="U76" s="334"/>
    </row>
    <row r="77" spans="1:21" ht="12" customHeight="1" x14ac:dyDescent="0.2">
      <c r="A77" s="1235" t="s">
        <v>34</v>
      </c>
      <c r="B77" s="1250" t="s">
        <v>395</v>
      </c>
      <c r="C77" s="1250"/>
      <c r="D77" s="1250"/>
      <c r="E77" s="1250"/>
      <c r="F77" s="1250"/>
      <c r="G77" s="1250"/>
      <c r="H77" s="1250"/>
      <c r="I77" s="1250"/>
      <c r="J77" s="1250"/>
      <c r="K77" s="1250"/>
      <c r="L77" s="1250"/>
      <c r="M77" s="1250"/>
      <c r="N77" s="1250"/>
      <c r="O77" s="1250"/>
      <c r="P77" s="1250"/>
      <c r="Q77" s="1250"/>
      <c r="R77" s="1250"/>
      <c r="S77" s="1250"/>
      <c r="T77" s="334"/>
      <c r="U77" s="334"/>
    </row>
    <row r="78" spans="1:21" ht="22.5" customHeight="1" x14ac:dyDescent="0.2">
      <c r="A78" s="553" t="s">
        <v>36</v>
      </c>
      <c r="B78" s="1169" t="s">
        <v>391</v>
      </c>
      <c r="C78" s="1021" t="s">
        <v>359</v>
      </c>
      <c r="D78" s="1220" t="s">
        <v>316</v>
      </c>
      <c r="E78" s="356">
        <f t="shared" ref="E78:K78" si="22">E79+E80</f>
        <v>33980.274000000005</v>
      </c>
      <c r="F78" s="356">
        <f>F79+F80</f>
        <v>2705.6040000000003</v>
      </c>
      <c r="G78" s="356">
        <f t="shared" si="22"/>
        <v>7966.8700000000008</v>
      </c>
      <c r="H78" s="356">
        <f>H79+H80</f>
        <v>11728.880000000001</v>
      </c>
      <c r="I78" s="356">
        <f t="shared" si="22"/>
        <v>8716.93</v>
      </c>
      <c r="J78" s="356">
        <f t="shared" si="22"/>
        <v>2861.99</v>
      </c>
      <c r="K78" s="356">
        <f t="shared" si="22"/>
        <v>0</v>
      </c>
      <c r="L78" s="1169"/>
      <c r="M78" s="1241"/>
      <c r="N78" s="519"/>
      <c r="O78" s="519"/>
      <c r="P78" s="519"/>
      <c r="Q78" s="519"/>
      <c r="R78" s="519"/>
      <c r="S78" s="520"/>
      <c r="T78" s="350"/>
      <c r="U78" s="334"/>
    </row>
    <row r="79" spans="1:21" ht="19.5" customHeight="1" x14ac:dyDescent="0.2">
      <c r="A79" s="1202"/>
      <c r="B79" s="980"/>
      <c r="C79" s="1035"/>
      <c r="D79" s="1068" t="s">
        <v>5</v>
      </c>
      <c r="E79" s="1251">
        <f>F79+G79+H79+I79+J79+K79</f>
        <v>23149.194000000003</v>
      </c>
      <c r="F79" s="1171">
        <f t="shared" ref="F79:H80" si="23">F82+F100+F115+F118+F121+F124+F139+F142+F145+F157</f>
        <v>2705.6040000000003</v>
      </c>
      <c r="G79" s="1171">
        <f t="shared" si="23"/>
        <v>2973.27</v>
      </c>
      <c r="H79" s="1171">
        <f t="shared" si="23"/>
        <v>8872.2200000000012</v>
      </c>
      <c r="I79" s="1171">
        <f>I82+I100+I115+I118+I121+I124+I139+I142+I145+I157+I160+I163</f>
        <v>5736.11</v>
      </c>
      <c r="J79" s="1171">
        <f>J82+J100+J115+J118+J121+J124+J139+J142+J145+J157</f>
        <v>2861.99</v>
      </c>
      <c r="K79" s="1171">
        <f>K82+K100+K115+K118+K121+K124+K139+K142+K145+K157</f>
        <v>0</v>
      </c>
      <c r="L79" s="1175"/>
      <c r="M79" s="1242"/>
      <c r="N79" s="521"/>
      <c r="O79" s="521"/>
      <c r="P79" s="521"/>
      <c r="Q79" s="521"/>
      <c r="R79" s="521"/>
      <c r="S79" s="522"/>
      <c r="T79" s="351"/>
      <c r="U79" s="334"/>
    </row>
    <row r="80" spans="1:21" ht="15" customHeight="1" x14ac:dyDescent="0.2">
      <c r="A80" s="1252"/>
      <c r="B80" s="991"/>
      <c r="C80" s="1035"/>
      <c r="D80" s="1068" t="s">
        <v>6</v>
      </c>
      <c r="E80" s="1253">
        <f>F80+G80+H80+I80+J80+K80</f>
        <v>10831.08</v>
      </c>
      <c r="F80" s="1253">
        <f t="shared" si="23"/>
        <v>0</v>
      </c>
      <c r="G80" s="1253">
        <f t="shared" si="23"/>
        <v>4993.6000000000004</v>
      </c>
      <c r="H80" s="1253">
        <f t="shared" si="23"/>
        <v>2856.66</v>
      </c>
      <c r="I80" s="1253">
        <f>I83+I101+I116+I119+I122+I125+I140+I143+I146+I158+I164</f>
        <v>2980.8199999999997</v>
      </c>
      <c r="J80" s="1253">
        <f>J83+J101+J116+J119+J122+J125+J140+J143+J146+J158</f>
        <v>0</v>
      </c>
      <c r="K80" s="1253">
        <f>K83+K101+K116+K119+K122+K125+K140+K143+K146+K158</f>
        <v>0</v>
      </c>
      <c r="L80" s="1212"/>
      <c r="M80" s="1254"/>
      <c r="N80" s="523"/>
      <c r="O80" s="523"/>
      <c r="P80" s="523"/>
      <c r="Q80" s="523"/>
      <c r="R80" s="523"/>
      <c r="S80" s="524"/>
      <c r="T80" s="334"/>
      <c r="U80" s="334"/>
    </row>
    <row r="81" spans="1:21" ht="13.5" customHeight="1" x14ac:dyDescent="0.2">
      <c r="A81" s="927" t="s">
        <v>82</v>
      </c>
      <c r="B81" s="556" t="s">
        <v>490</v>
      </c>
      <c r="C81" s="1035"/>
      <c r="D81" s="387" t="s">
        <v>11</v>
      </c>
      <c r="E81" s="1255">
        <f>F81+G81+H81+I81+J81+K81</f>
        <v>7755.37</v>
      </c>
      <c r="F81" s="1255">
        <f>F82+F83</f>
        <v>2122.42</v>
      </c>
      <c r="G81" s="1255">
        <f t="shared" ref="G81" si="24">G141+G147+G150+G153</f>
        <v>0</v>
      </c>
      <c r="H81" s="1255">
        <f>H87+H90+H93</f>
        <v>2170.96</v>
      </c>
      <c r="I81" s="356">
        <f>I82+I83</f>
        <v>700.00000000000023</v>
      </c>
      <c r="J81" s="356">
        <f t="shared" ref="J81:K81" si="25">J82+J83</f>
        <v>2761.99</v>
      </c>
      <c r="K81" s="356">
        <f t="shared" si="25"/>
        <v>0</v>
      </c>
      <c r="L81" s="525" t="s">
        <v>379</v>
      </c>
      <c r="M81" s="491">
        <v>100</v>
      </c>
      <c r="N81" s="491">
        <v>100</v>
      </c>
      <c r="O81" s="491">
        <v>100</v>
      </c>
      <c r="P81" s="491">
        <v>100</v>
      </c>
      <c r="Q81" s="491">
        <v>0</v>
      </c>
      <c r="R81" s="491">
        <v>0</v>
      </c>
      <c r="S81" s="528" t="s">
        <v>146</v>
      </c>
      <c r="T81" s="334"/>
      <c r="U81" s="334"/>
    </row>
    <row r="82" spans="1:21" ht="12" customHeight="1" x14ac:dyDescent="0.2">
      <c r="A82" s="1202"/>
      <c r="B82" s="980"/>
      <c r="C82" s="1035"/>
      <c r="D82" s="389" t="s">
        <v>5</v>
      </c>
      <c r="E82" s="1256">
        <f>F82+G82+H82+I82+J82+K82</f>
        <v>7755.37</v>
      </c>
      <c r="F82" s="1256">
        <f>2122.42</f>
        <v>2122.42</v>
      </c>
      <c r="G82" s="1256">
        <v>0</v>
      </c>
      <c r="H82" s="1256">
        <f>H85+H88+H91+H94</f>
        <v>2170.96</v>
      </c>
      <c r="I82" s="354">
        <f>I88</f>
        <v>700.00000000000023</v>
      </c>
      <c r="J82" s="354">
        <f t="shared" ref="J82:K82" si="26">J88</f>
        <v>2761.99</v>
      </c>
      <c r="K82" s="354">
        <f t="shared" si="26"/>
        <v>0</v>
      </c>
      <c r="L82" s="526"/>
      <c r="M82" s="492"/>
      <c r="N82" s="492"/>
      <c r="O82" s="492"/>
      <c r="P82" s="492"/>
      <c r="Q82" s="492"/>
      <c r="R82" s="492"/>
      <c r="S82" s="938"/>
      <c r="T82" s="334"/>
      <c r="U82" s="334"/>
    </row>
    <row r="83" spans="1:21" ht="14.25" customHeight="1" x14ac:dyDescent="0.2">
      <c r="A83" s="1252"/>
      <c r="B83" s="991"/>
      <c r="C83" s="1035"/>
      <c r="D83" s="390" t="s">
        <v>6</v>
      </c>
      <c r="E83" s="1257">
        <f>F83+G83+H83+I83+J83+K83</f>
        <v>0</v>
      </c>
      <c r="F83" s="1257">
        <f>F143+F149+F155</f>
        <v>0</v>
      </c>
      <c r="G83" s="1257">
        <v>0</v>
      </c>
      <c r="H83" s="1257">
        <f>H86+H89+H92+H95</f>
        <v>0</v>
      </c>
      <c r="I83" s="355">
        <v>0</v>
      </c>
      <c r="J83" s="355">
        <v>0</v>
      </c>
      <c r="K83" s="355">
        <v>0</v>
      </c>
      <c r="L83" s="526"/>
      <c r="M83" s="492"/>
      <c r="N83" s="492"/>
      <c r="O83" s="492"/>
      <c r="P83" s="492"/>
      <c r="Q83" s="492"/>
      <c r="R83" s="492"/>
      <c r="S83" s="938"/>
      <c r="T83" s="334"/>
      <c r="U83" s="334"/>
    </row>
    <row r="84" spans="1:21" ht="9.75" customHeight="1" x14ac:dyDescent="0.2">
      <c r="A84" s="927" t="s">
        <v>466</v>
      </c>
      <c r="B84" s="556" t="s">
        <v>471</v>
      </c>
      <c r="C84" s="1258"/>
      <c r="D84" s="389"/>
      <c r="E84" s="354">
        <f>E85+E86</f>
        <v>2122.42</v>
      </c>
      <c r="F84" s="388">
        <f>F85+F86</f>
        <v>2122.42</v>
      </c>
      <c r="G84" s="388">
        <f>G85+G86</f>
        <v>0</v>
      </c>
      <c r="H84" s="388">
        <f t="shared" ref="H84:K84" si="27">H85+H86</f>
        <v>0</v>
      </c>
      <c r="I84" s="388">
        <f t="shared" si="27"/>
        <v>0</v>
      </c>
      <c r="J84" s="388">
        <f t="shared" si="27"/>
        <v>0</v>
      </c>
      <c r="K84" s="388">
        <f t="shared" si="27"/>
        <v>0</v>
      </c>
      <c r="L84" s="526"/>
      <c r="M84" s="492"/>
      <c r="N84" s="492"/>
      <c r="O84" s="492"/>
      <c r="P84" s="492"/>
      <c r="Q84" s="492"/>
      <c r="R84" s="492"/>
      <c r="S84" s="938"/>
      <c r="T84" s="334"/>
      <c r="U84" s="334"/>
    </row>
    <row r="85" spans="1:21" ht="15.75" customHeight="1" x14ac:dyDescent="0.2">
      <c r="A85" s="933"/>
      <c r="B85" s="980"/>
      <c r="C85" s="1258"/>
      <c r="D85" s="389" t="s">
        <v>5</v>
      </c>
      <c r="E85" s="354">
        <f>F85+G85+H85+I85+J85+K85</f>
        <v>2122.42</v>
      </c>
      <c r="F85" s="354">
        <f>2122.42</f>
        <v>2122.42</v>
      </c>
      <c r="G85" s="354">
        <v>0</v>
      </c>
      <c r="H85" s="354">
        <v>0</v>
      </c>
      <c r="I85" s="354">
        <v>0</v>
      </c>
      <c r="J85" s="354">
        <v>0</v>
      </c>
      <c r="K85" s="354">
        <v>0</v>
      </c>
      <c r="L85" s="526"/>
      <c r="M85" s="492"/>
      <c r="N85" s="492"/>
      <c r="O85" s="492"/>
      <c r="P85" s="492"/>
      <c r="Q85" s="492"/>
      <c r="R85" s="492"/>
      <c r="S85" s="938"/>
      <c r="T85" s="334"/>
      <c r="U85" s="334"/>
    </row>
    <row r="86" spans="1:21" ht="15.75" customHeight="1" x14ac:dyDescent="0.2">
      <c r="A86" s="933"/>
      <c r="B86" s="991"/>
      <c r="C86" s="1258"/>
      <c r="D86" s="390" t="s">
        <v>6</v>
      </c>
      <c r="E86" s="354">
        <f>F86+G86+H86+I86+J86+K86</f>
        <v>0</v>
      </c>
      <c r="F86" s="355">
        <f t="shared" ref="F86" si="28">F146+F152+F158</f>
        <v>0</v>
      </c>
      <c r="G86" s="355">
        <v>0</v>
      </c>
      <c r="H86" s="355">
        <v>0</v>
      </c>
      <c r="I86" s="354">
        <v>0</v>
      </c>
      <c r="J86" s="354">
        <v>0</v>
      </c>
      <c r="K86" s="354">
        <v>0</v>
      </c>
      <c r="L86" s="526"/>
      <c r="M86" s="492"/>
      <c r="N86" s="492"/>
      <c r="O86" s="492"/>
      <c r="P86" s="492"/>
      <c r="Q86" s="492"/>
      <c r="R86" s="492"/>
      <c r="S86" s="938"/>
      <c r="T86" s="334"/>
      <c r="U86" s="334"/>
    </row>
    <row r="87" spans="1:21" ht="12.75" customHeight="1" x14ac:dyDescent="0.2">
      <c r="A87" s="927" t="s">
        <v>467</v>
      </c>
      <c r="B87" s="556" t="s">
        <v>474</v>
      </c>
      <c r="C87" s="1258"/>
      <c r="D87" s="1259"/>
      <c r="E87" s="388">
        <f>E88+E89</f>
        <v>4953.22</v>
      </c>
      <c r="F87" s="388">
        <v>0</v>
      </c>
      <c r="G87" s="388">
        <v>0</v>
      </c>
      <c r="H87" s="388">
        <f>H88+H89</f>
        <v>1491.23</v>
      </c>
      <c r="I87" s="388">
        <f t="shared" ref="I87:K87" si="29">I88+I89</f>
        <v>700.00000000000023</v>
      </c>
      <c r="J87" s="388">
        <f t="shared" si="29"/>
        <v>2761.99</v>
      </c>
      <c r="K87" s="388">
        <f t="shared" si="29"/>
        <v>0</v>
      </c>
      <c r="L87" s="526"/>
      <c r="M87" s="492"/>
      <c r="N87" s="492"/>
      <c r="O87" s="492"/>
      <c r="P87" s="492"/>
      <c r="Q87" s="492"/>
      <c r="R87" s="492"/>
      <c r="S87" s="938"/>
      <c r="T87" s="334"/>
      <c r="U87" s="334"/>
    </row>
    <row r="88" spans="1:21" ht="12" customHeight="1" x14ac:dyDescent="0.2">
      <c r="A88" s="933"/>
      <c r="B88" s="557"/>
      <c r="C88" s="1258"/>
      <c r="D88" s="1068" t="s">
        <v>5</v>
      </c>
      <c r="E88" s="354">
        <f>F88+G88+H88+I88+J88+K88</f>
        <v>4953.22</v>
      </c>
      <c r="F88" s="354">
        <v>0</v>
      </c>
      <c r="G88" s="354">
        <v>0</v>
      </c>
      <c r="H88" s="354">
        <f>1510.54-19.31</f>
        <v>1491.23</v>
      </c>
      <c r="I88" s="354">
        <f>2679.32-1979.32</f>
        <v>700.00000000000023</v>
      </c>
      <c r="J88" s="1260">
        <v>2761.99</v>
      </c>
      <c r="K88" s="354">
        <v>0</v>
      </c>
      <c r="L88" s="526"/>
      <c r="M88" s="492"/>
      <c r="N88" s="492"/>
      <c r="O88" s="492"/>
      <c r="P88" s="492"/>
      <c r="Q88" s="492"/>
      <c r="R88" s="492"/>
      <c r="S88" s="938"/>
      <c r="T88" s="334"/>
      <c r="U88" s="334"/>
    </row>
    <row r="89" spans="1:21" ht="15.75" customHeight="1" x14ac:dyDescent="0.2">
      <c r="A89" s="960"/>
      <c r="B89" s="558"/>
      <c r="C89" s="1258"/>
      <c r="D89" s="1068" t="s">
        <v>6</v>
      </c>
      <c r="E89" s="354">
        <f>F89+G89+H89+I89+J89+K89</f>
        <v>0</v>
      </c>
      <c r="F89" s="354">
        <v>0</v>
      </c>
      <c r="G89" s="354">
        <v>0</v>
      </c>
      <c r="H89" s="354">
        <v>0</v>
      </c>
      <c r="I89" s="354">
        <v>0</v>
      </c>
      <c r="J89" s="1260">
        <v>0</v>
      </c>
      <c r="K89" s="354">
        <v>0</v>
      </c>
      <c r="L89" s="526"/>
      <c r="M89" s="492"/>
      <c r="N89" s="492"/>
      <c r="O89" s="492"/>
      <c r="P89" s="492"/>
      <c r="Q89" s="492"/>
      <c r="R89" s="492"/>
      <c r="S89" s="938"/>
      <c r="T89" s="334"/>
      <c r="U89" s="334"/>
    </row>
    <row r="90" spans="1:21" ht="12" customHeight="1" x14ac:dyDescent="0.2">
      <c r="A90" s="927" t="s">
        <v>468</v>
      </c>
      <c r="B90" s="556" t="s">
        <v>475</v>
      </c>
      <c r="C90" s="1258"/>
      <c r="D90" s="1022"/>
      <c r="E90" s="1261">
        <f>E91+E92</f>
        <v>420.36</v>
      </c>
      <c r="F90" s="1261">
        <v>0</v>
      </c>
      <c r="G90" s="1261">
        <v>0</v>
      </c>
      <c r="H90" s="1261">
        <f>H91+H92</f>
        <v>420.36</v>
      </c>
      <c r="I90" s="1261">
        <v>0</v>
      </c>
      <c r="J90" s="1261">
        <v>0</v>
      </c>
      <c r="K90" s="388">
        <v>0</v>
      </c>
      <c r="L90" s="526"/>
      <c r="M90" s="492"/>
      <c r="N90" s="492"/>
      <c r="O90" s="492"/>
      <c r="P90" s="492"/>
      <c r="Q90" s="492"/>
      <c r="R90" s="492"/>
      <c r="S90" s="938"/>
      <c r="T90" s="334"/>
      <c r="U90" s="334"/>
    </row>
    <row r="91" spans="1:21" ht="12.75" customHeight="1" x14ac:dyDescent="0.2">
      <c r="A91" s="933"/>
      <c r="B91" s="557"/>
      <c r="C91" s="1258"/>
      <c r="D91" s="389" t="s">
        <v>5</v>
      </c>
      <c r="E91" s="1260">
        <f>F91+G91+H91+I91+J91+K91</f>
        <v>420.36</v>
      </c>
      <c r="F91" s="1260">
        <v>0</v>
      </c>
      <c r="G91" s="1260">
        <v>0</v>
      </c>
      <c r="H91" s="1260">
        <v>420.36</v>
      </c>
      <c r="I91" s="1260">
        <v>0</v>
      </c>
      <c r="J91" s="1260">
        <v>0</v>
      </c>
      <c r="K91" s="354">
        <v>0</v>
      </c>
      <c r="L91" s="526"/>
      <c r="M91" s="492"/>
      <c r="N91" s="492"/>
      <c r="O91" s="492"/>
      <c r="P91" s="492"/>
      <c r="Q91" s="492"/>
      <c r="R91" s="492"/>
      <c r="S91" s="938"/>
      <c r="T91" s="334"/>
      <c r="U91" s="334"/>
    </row>
    <row r="92" spans="1:21" ht="16.5" customHeight="1" x14ac:dyDescent="0.2">
      <c r="A92" s="960"/>
      <c r="B92" s="558"/>
      <c r="C92" s="1258"/>
      <c r="D92" s="389" t="s">
        <v>6</v>
      </c>
      <c r="E92" s="1260">
        <f>F92+G92+H92+I92+J92+K92</f>
        <v>0</v>
      </c>
      <c r="F92" s="1260">
        <v>0</v>
      </c>
      <c r="G92" s="1260">
        <v>0</v>
      </c>
      <c r="H92" s="1260">
        <v>0</v>
      </c>
      <c r="I92" s="1262">
        <v>0</v>
      </c>
      <c r="J92" s="1262">
        <v>0</v>
      </c>
      <c r="K92" s="355">
        <v>0</v>
      </c>
      <c r="L92" s="527"/>
      <c r="M92" s="493"/>
      <c r="N92" s="493"/>
      <c r="O92" s="493"/>
      <c r="P92" s="493"/>
      <c r="Q92" s="493"/>
      <c r="R92" s="493"/>
      <c r="S92" s="961"/>
      <c r="T92" s="334"/>
      <c r="U92" s="334"/>
    </row>
    <row r="93" spans="1:21" ht="12.75" customHeight="1" x14ac:dyDescent="0.2">
      <c r="A93" s="927" t="s">
        <v>470</v>
      </c>
      <c r="B93" s="556" t="s">
        <v>469</v>
      </c>
      <c r="C93" s="1258"/>
      <c r="D93" s="920"/>
      <c r="E93" s="388">
        <f>E94+E95</f>
        <v>259.37</v>
      </c>
      <c r="F93" s="388">
        <v>0</v>
      </c>
      <c r="G93" s="388">
        <v>0</v>
      </c>
      <c r="H93" s="388">
        <f>H94+H95</f>
        <v>259.37</v>
      </c>
      <c r="I93" s="388">
        <v>0</v>
      </c>
      <c r="J93" s="388">
        <v>0</v>
      </c>
      <c r="K93" s="388">
        <v>0</v>
      </c>
      <c r="L93" s="525" t="s">
        <v>379</v>
      </c>
      <c r="M93" s="491">
        <v>0</v>
      </c>
      <c r="N93" s="491">
        <v>0</v>
      </c>
      <c r="O93" s="491">
        <v>100</v>
      </c>
      <c r="P93" s="491">
        <v>0</v>
      </c>
      <c r="Q93" s="491">
        <v>0</v>
      </c>
      <c r="R93" s="491">
        <v>0</v>
      </c>
      <c r="S93" s="528" t="s">
        <v>499</v>
      </c>
      <c r="T93" s="334"/>
      <c r="U93" s="334"/>
    </row>
    <row r="94" spans="1:21" ht="13.5" customHeight="1" x14ac:dyDescent="0.2">
      <c r="A94" s="933"/>
      <c r="B94" s="557"/>
      <c r="C94" s="1258"/>
      <c r="D94" s="1068" t="s">
        <v>5</v>
      </c>
      <c r="E94" s="354">
        <f>F94+G94+H94+I94+J94+K94</f>
        <v>259.37</v>
      </c>
      <c r="F94" s="354">
        <v>0</v>
      </c>
      <c r="G94" s="354">
        <v>0</v>
      </c>
      <c r="H94" s="354">
        <v>259.37</v>
      </c>
      <c r="I94" s="354">
        <v>0</v>
      </c>
      <c r="J94" s="354">
        <v>0</v>
      </c>
      <c r="K94" s="354">
        <v>0</v>
      </c>
      <c r="L94" s="526"/>
      <c r="M94" s="492"/>
      <c r="N94" s="492"/>
      <c r="O94" s="492"/>
      <c r="P94" s="492"/>
      <c r="Q94" s="492"/>
      <c r="R94" s="492"/>
      <c r="S94" s="938"/>
      <c r="T94" s="334"/>
      <c r="U94" s="334"/>
    </row>
    <row r="95" spans="1:21" ht="36.75" customHeight="1" x14ac:dyDescent="0.2">
      <c r="A95" s="933"/>
      <c r="B95" s="557"/>
      <c r="C95" s="1258"/>
      <c r="D95" s="1108" t="s">
        <v>6</v>
      </c>
      <c r="E95" s="355">
        <f>F95+G95+H95+I95+J95+K95</f>
        <v>0</v>
      </c>
      <c r="F95" s="355">
        <v>0</v>
      </c>
      <c r="G95" s="355">
        <v>0</v>
      </c>
      <c r="H95" s="355">
        <v>0</v>
      </c>
      <c r="I95" s="355">
        <v>0</v>
      </c>
      <c r="J95" s="355">
        <v>0</v>
      </c>
      <c r="K95" s="355">
        <v>0</v>
      </c>
      <c r="L95" s="527"/>
      <c r="M95" s="493"/>
      <c r="N95" s="493"/>
      <c r="O95" s="493"/>
      <c r="P95" s="493"/>
      <c r="Q95" s="493"/>
      <c r="R95" s="493"/>
      <c r="S95" s="961"/>
      <c r="T95" s="334"/>
      <c r="U95" s="334"/>
    </row>
    <row r="96" spans="1:21" ht="12.75" hidden="1" customHeight="1" x14ac:dyDescent="0.2">
      <c r="A96" s="927" t="s">
        <v>519</v>
      </c>
      <c r="B96" s="556" t="s">
        <v>520</v>
      </c>
      <c r="C96" s="1258"/>
      <c r="D96" s="920"/>
      <c r="E96" s="388">
        <f>E97+E98</f>
        <v>0</v>
      </c>
      <c r="F96" s="388">
        <v>0</v>
      </c>
      <c r="G96" s="388">
        <v>0</v>
      </c>
      <c r="H96" s="388">
        <f>H97+H98</f>
        <v>0</v>
      </c>
      <c r="I96" s="388">
        <v>0</v>
      </c>
      <c r="J96" s="388">
        <v>0</v>
      </c>
      <c r="K96" s="388">
        <v>0</v>
      </c>
      <c r="L96" s="525" t="s">
        <v>379</v>
      </c>
      <c r="M96" s="525" t="s">
        <v>213</v>
      </c>
      <c r="N96" s="525" t="s">
        <v>213</v>
      </c>
      <c r="O96" s="1263">
        <v>0</v>
      </c>
      <c r="P96" s="525" t="s">
        <v>236</v>
      </c>
      <c r="Q96" s="525" t="s">
        <v>213</v>
      </c>
      <c r="R96" s="525" t="s">
        <v>213</v>
      </c>
      <c r="S96" s="528" t="s">
        <v>499</v>
      </c>
      <c r="T96" s="334"/>
      <c r="U96" s="334"/>
    </row>
    <row r="97" spans="1:21" ht="13.5" hidden="1" customHeight="1" x14ac:dyDescent="0.2">
      <c r="A97" s="933"/>
      <c r="B97" s="557"/>
      <c r="C97" s="1258"/>
      <c r="D97" s="1068" t="s">
        <v>5</v>
      </c>
      <c r="E97" s="354">
        <f>F97+G97+H97+I97+J97+K97</f>
        <v>0</v>
      </c>
      <c r="F97" s="354">
        <v>0</v>
      </c>
      <c r="G97" s="354">
        <v>0</v>
      </c>
      <c r="H97" s="354">
        <v>0</v>
      </c>
      <c r="I97" s="354">
        <v>0</v>
      </c>
      <c r="J97" s="354">
        <v>0</v>
      </c>
      <c r="K97" s="354">
        <v>0</v>
      </c>
      <c r="L97" s="526"/>
      <c r="M97" s="526"/>
      <c r="N97" s="526"/>
      <c r="O97" s="1264"/>
      <c r="P97" s="526"/>
      <c r="Q97" s="526"/>
      <c r="R97" s="526"/>
      <c r="S97" s="938"/>
      <c r="T97" s="334"/>
      <c r="U97" s="334"/>
    </row>
    <row r="98" spans="1:21" ht="35.25" hidden="1" customHeight="1" x14ac:dyDescent="0.2">
      <c r="A98" s="933"/>
      <c r="B98" s="557"/>
      <c r="C98" s="1258"/>
      <c r="D98" s="1108" t="s">
        <v>6</v>
      </c>
      <c r="E98" s="355">
        <f>F98+G98+H98+I98+J98+K98</f>
        <v>0</v>
      </c>
      <c r="F98" s="355">
        <v>0</v>
      </c>
      <c r="G98" s="355">
        <v>0</v>
      </c>
      <c r="H98" s="355">
        <v>0</v>
      </c>
      <c r="I98" s="355">
        <v>0</v>
      </c>
      <c r="J98" s="355">
        <v>0</v>
      </c>
      <c r="K98" s="355">
        <v>0</v>
      </c>
      <c r="L98" s="527"/>
      <c r="M98" s="527"/>
      <c r="N98" s="527"/>
      <c r="O98" s="1265"/>
      <c r="P98" s="527"/>
      <c r="Q98" s="527"/>
      <c r="R98" s="527"/>
      <c r="S98" s="961"/>
      <c r="T98" s="334"/>
      <c r="U98" s="334"/>
    </row>
    <row r="99" spans="1:21" ht="12" customHeight="1" x14ac:dyDescent="0.2">
      <c r="A99" s="927" t="s">
        <v>85</v>
      </c>
      <c r="B99" s="556" t="s">
        <v>491</v>
      </c>
      <c r="C99" s="1035"/>
      <c r="D99" s="1266" t="s">
        <v>11</v>
      </c>
      <c r="E99" s="1256">
        <f t="shared" ref="E99:K99" si="30">E100+E101</f>
        <v>4179.55</v>
      </c>
      <c r="F99" s="1256">
        <f t="shared" si="30"/>
        <v>0</v>
      </c>
      <c r="G99" s="1256">
        <f t="shared" si="30"/>
        <v>1328.63</v>
      </c>
      <c r="H99" s="1256">
        <f t="shared" si="30"/>
        <v>2320.92</v>
      </c>
      <c r="I99" s="1256">
        <f t="shared" si="30"/>
        <v>530</v>
      </c>
      <c r="J99" s="1256">
        <f t="shared" si="30"/>
        <v>0</v>
      </c>
      <c r="K99" s="1256">
        <f t="shared" si="30"/>
        <v>0</v>
      </c>
      <c r="L99" s="526" t="s">
        <v>379</v>
      </c>
      <c r="M99" s="492">
        <v>100</v>
      </c>
      <c r="N99" s="492">
        <v>100</v>
      </c>
      <c r="O99" s="492">
        <v>100</v>
      </c>
      <c r="P99" s="492">
        <v>0</v>
      </c>
      <c r="Q99" s="492">
        <v>0</v>
      </c>
      <c r="R99" s="492">
        <v>0</v>
      </c>
      <c r="S99" s="938" t="s">
        <v>146</v>
      </c>
      <c r="T99" s="334"/>
      <c r="U99" s="334"/>
    </row>
    <row r="100" spans="1:21" ht="12.75" customHeight="1" x14ac:dyDescent="0.2">
      <c r="A100" s="1202"/>
      <c r="B100" s="980"/>
      <c r="C100" s="1035"/>
      <c r="D100" s="389" t="s">
        <v>5</v>
      </c>
      <c r="E100" s="1256">
        <f>SUM(F100:K100)</f>
        <v>4179.55</v>
      </c>
      <c r="F100" s="1256">
        <v>0</v>
      </c>
      <c r="G100" s="1256">
        <f>G103+G106+G109+G112</f>
        <v>1328.63</v>
      </c>
      <c r="H100" s="1256">
        <f>H106+H109+H112</f>
        <v>2320.92</v>
      </c>
      <c r="I100" s="1256">
        <f>I106+I109+I112</f>
        <v>530</v>
      </c>
      <c r="J100" s="1256">
        <f>J106+J109+J112</f>
        <v>0</v>
      </c>
      <c r="K100" s="1256">
        <f>K106+K109+K112</f>
        <v>0</v>
      </c>
      <c r="L100" s="526"/>
      <c r="M100" s="492"/>
      <c r="N100" s="492"/>
      <c r="O100" s="492"/>
      <c r="P100" s="492"/>
      <c r="Q100" s="492"/>
      <c r="R100" s="492"/>
      <c r="S100" s="938"/>
      <c r="T100" s="334"/>
      <c r="U100" s="334"/>
    </row>
    <row r="101" spans="1:21" ht="13.5" customHeight="1" x14ac:dyDescent="0.2">
      <c r="A101" s="1252"/>
      <c r="B101" s="991"/>
      <c r="C101" s="1035"/>
      <c r="D101" s="390" t="s">
        <v>6</v>
      </c>
      <c r="E101" s="1257">
        <f>SUM(F101:K101)</f>
        <v>0</v>
      </c>
      <c r="F101" s="1257">
        <v>0</v>
      </c>
      <c r="G101" s="1257">
        <v>0</v>
      </c>
      <c r="H101" s="1257">
        <v>0</v>
      </c>
      <c r="I101" s="355">
        <v>0</v>
      </c>
      <c r="J101" s="355">
        <v>0</v>
      </c>
      <c r="K101" s="355">
        <v>0</v>
      </c>
      <c r="L101" s="526"/>
      <c r="M101" s="492"/>
      <c r="N101" s="492"/>
      <c r="O101" s="492"/>
      <c r="P101" s="492"/>
      <c r="Q101" s="492"/>
      <c r="R101" s="492"/>
      <c r="S101" s="938"/>
      <c r="T101" s="334"/>
      <c r="U101" s="334"/>
    </row>
    <row r="102" spans="1:21" ht="13.5" customHeight="1" x14ac:dyDescent="0.2">
      <c r="A102" s="927" t="s">
        <v>476</v>
      </c>
      <c r="B102" s="556" t="s">
        <v>481</v>
      </c>
      <c r="C102" s="1035"/>
      <c r="D102" s="389"/>
      <c r="E102" s="354">
        <f>E103+E104</f>
        <v>1166.6300000000001</v>
      </c>
      <c r="F102" s="354">
        <f t="shared" ref="F102:K102" si="31">F103+F104</f>
        <v>0</v>
      </c>
      <c r="G102" s="354">
        <f t="shared" si="31"/>
        <v>1166.6300000000001</v>
      </c>
      <c r="H102" s="354">
        <f t="shared" si="31"/>
        <v>0</v>
      </c>
      <c r="I102" s="354">
        <f t="shared" si="31"/>
        <v>0</v>
      </c>
      <c r="J102" s="354">
        <f t="shared" si="31"/>
        <v>0</v>
      </c>
      <c r="K102" s="354">
        <f t="shared" si="31"/>
        <v>0</v>
      </c>
      <c r="L102" s="526"/>
      <c r="M102" s="492"/>
      <c r="N102" s="492"/>
      <c r="O102" s="492"/>
      <c r="P102" s="492"/>
      <c r="Q102" s="492"/>
      <c r="R102" s="492"/>
      <c r="S102" s="938"/>
      <c r="T102" s="334"/>
      <c r="U102" s="334"/>
    </row>
    <row r="103" spans="1:21" ht="13.5" customHeight="1" x14ac:dyDescent="0.2">
      <c r="A103" s="1202"/>
      <c r="B103" s="980"/>
      <c r="C103" s="1035"/>
      <c r="D103" s="389" t="s">
        <v>5</v>
      </c>
      <c r="E103" s="354">
        <f>F103+G103+H103+I103+J103+K103</f>
        <v>1166.6300000000001</v>
      </c>
      <c r="F103" s="1256">
        <v>0</v>
      </c>
      <c r="G103" s="354">
        <v>1166.6300000000001</v>
      </c>
      <c r="H103" s="354">
        <v>0</v>
      </c>
      <c r="I103" s="354">
        <v>0</v>
      </c>
      <c r="J103" s="354">
        <v>0</v>
      </c>
      <c r="K103" s="354">
        <v>0</v>
      </c>
      <c r="L103" s="526"/>
      <c r="M103" s="492"/>
      <c r="N103" s="492"/>
      <c r="O103" s="492"/>
      <c r="P103" s="492"/>
      <c r="Q103" s="492"/>
      <c r="R103" s="492"/>
      <c r="S103" s="938"/>
      <c r="T103" s="334"/>
      <c r="U103" s="334"/>
    </row>
    <row r="104" spans="1:21" ht="13.5" customHeight="1" x14ac:dyDescent="0.2">
      <c r="A104" s="1252"/>
      <c r="B104" s="991"/>
      <c r="C104" s="1035"/>
      <c r="D104" s="390" t="s">
        <v>6</v>
      </c>
      <c r="E104" s="354">
        <f>F104+G104+H104+I104+J104+K104</f>
        <v>0</v>
      </c>
      <c r="F104" s="1256">
        <v>0</v>
      </c>
      <c r="G104" s="354">
        <v>0</v>
      </c>
      <c r="H104" s="354">
        <v>0</v>
      </c>
      <c r="I104" s="354">
        <v>0</v>
      </c>
      <c r="J104" s="354">
        <v>0</v>
      </c>
      <c r="K104" s="354">
        <v>0</v>
      </c>
      <c r="L104" s="526"/>
      <c r="M104" s="492"/>
      <c r="N104" s="492"/>
      <c r="O104" s="492"/>
      <c r="P104" s="492"/>
      <c r="Q104" s="492"/>
      <c r="R104" s="492"/>
      <c r="S104" s="938"/>
      <c r="T104" s="334"/>
      <c r="U104" s="334"/>
    </row>
    <row r="105" spans="1:21" ht="13.5" customHeight="1" x14ac:dyDescent="0.2">
      <c r="A105" s="927" t="s">
        <v>477</v>
      </c>
      <c r="B105" s="556" t="s">
        <v>501</v>
      </c>
      <c r="C105" s="1035"/>
      <c r="D105" s="1022"/>
      <c r="E105" s="388">
        <f>E106+E107</f>
        <v>2457.88</v>
      </c>
      <c r="F105" s="388">
        <v>0</v>
      </c>
      <c r="G105" s="388">
        <f>G106+G107</f>
        <v>162</v>
      </c>
      <c r="H105" s="388">
        <f>H106+H107</f>
        <v>1765.88</v>
      </c>
      <c r="I105" s="388">
        <f>I106+I107</f>
        <v>530</v>
      </c>
      <c r="J105" s="388">
        <f>J106+J107</f>
        <v>0</v>
      </c>
      <c r="K105" s="388">
        <f>K106+K107</f>
        <v>0</v>
      </c>
      <c r="L105" s="526"/>
      <c r="M105" s="492"/>
      <c r="N105" s="492"/>
      <c r="O105" s="492"/>
      <c r="P105" s="492"/>
      <c r="Q105" s="492"/>
      <c r="R105" s="492"/>
      <c r="S105" s="938"/>
      <c r="T105" s="334"/>
      <c r="U105" s="334"/>
    </row>
    <row r="106" spans="1:21" ht="13.5" customHeight="1" x14ac:dyDescent="0.2">
      <c r="A106" s="1202"/>
      <c r="B106" s="980"/>
      <c r="C106" s="1035"/>
      <c r="D106" s="389" t="s">
        <v>5</v>
      </c>
      <c r="E106" s="354">
        <f>F106+G106+H106+I106+J106+K106</f>
        <v>2457.88</v>
      </c>
      <c r="F106" s="354">
        <v>0</v>
      </c>
      <c r="G106" s="354">
        <v>162</v>
      </c>
      <c r="H106" s="354">
        <v>1765.88</v>
      </c>
      <c r="I106" s="354">
        <v>530</v>
      </c>
      <c r="J106" s="354">
        <v>0</v>
      </c>
      <c r="K106" s="354">
        <v>0</v>
      </c>
      <c r="L106" s="526"/>
      <c r="M106" s="492"/>
      <c r="N106" s="492"/>
      <c r="O106" s="492"/>
      <c r="P106" s="492"/>
      <c r="Q106" s="492"/>
      <c r="R106" s="492"/>
      <c r="S106" s="938"/>
      <c r="T106" s="334"/>
      <c r="U106" s="334"/>
    </row>
    <row r="107" spans="1:21" ht="13.5" customHeight="1" x14ac:dyDescent="0.2">
      <c r="A107" s="1252"/>
      <c r="B107" s="991"/>
      <c r="C107" s="1035"/>
      <c r="D107" s="390" t="s">
        <v>6</v>
      </c>
      <c r="E107" s="355">
        <f>F107+G107+H107+I107+J107+K107</f>
        <v>0</v>
      </c>
      <c r="F107" s="355">
        <v>0</v>
      </c>
      <c r="G107" s="355">
        <v>0</v>
      </c>
      <c r="H107" s="355">
        <v>0</v>
      </c>
      <c r="I107" s="355">
        <v>0</v>
      </c>
      <c r="J107" s="355">
        <v>0</v>
      </c>
      <c r="K107" s="355">
        <v>0</v>
      </c>
      <c r="L107" s="526"/>
      <c r="M107" s="492"/>
      <c r="N107" s="492"/>
      <c r="O107" s="492"/>
      <c r="P107" s="492"/>
      <c r="Q107" s="492"/>
      <c r="R107" s="492"/>
      <c r="S107" s="938"/>
      <c r="T107" s="334"/>
      <c r="U107" s="334"/>
    </row>
    <row r="108" spans="1:21" ht="13.5" customHeight="1" x14ac:dyDescent="0.2">
      <c r="A108" s="927" t="s">
        <v>478</v>
      </c>
      <c r="B108" s="556" t="s">
        <v>475</v>
      </c>
      <c r="C108" s="1035"/>
      <c r="D108" s="1022"/>
      <c r="E108" s="388">
        <f>E109+E110</f>
        <v>357.4</v>
      </c>
      <c r="F108" s="388">
        <v>0</v>
      </c>
      <c r="G108" s="388">
        <v>0</v>
      </c>
      <c r="H108" s="388">
        <f>H109+H110</f>
        <v>357.4</v>
      </c>
      <c r="I108" s="388">
        <f>I109+I110</f>
        <v>0</v>
      </c>
      <c r="J108" s="388">
        <f>J109+J110</f>
        <v>0</v>
      </c>
      <c r="K108" s="388">
        <f>K109+K110</f>
        <v>0</v>
      </c>
      <c r="L108" s="526"/>
      <c r="M108" s="492"/>
      <c r="N108" s="492"/>
      <c r="O108" s="492"/>
      <c r="P108" s="492"/>
      <c r="Q108" s="492"/>
      <c r="R108" s="492"/>
      <c r="S108" s="938"/>
      <c r="T108" s="334"/>
      <c r="U108" s="334"/>
    </row>
    <row r="109" spans="1:21" ht="13.5" customHeight="1" x14ac:dyDescent="0.2">
      <c r="A109" s="1202"/>
      <c r="B109" s="980"/>
      <c r="C109" s="1035"/>
      <c r="D109" s="389" t="s">
        <v>5</v>
      </c>
      <c r="E109" s="354">
        <f>F109+G109+H109+I109+J109+K109</f>
        <v>357.4</v>
      </c>
      <c r="F109" s="354">
        <v>0</v>
      </c>
      <c r="G109" s="354">
        <v>0</v>
      </c>
      <c r="H109" s="354">
        <v>357.4</v>
      </c>
      <c r="I109" s="354">
        <v>0</v>
      </c>
      <c r="J109" s="354">
        <v>0</v>
      </c>
      <c r="K109" s="354">
        <v>0</v>
      </c>
      <c r="L109" s="526"/>
      <c r="M109" s="492"/>
      <c r="N109" s="492"/>
      <c r="O109" s="492"/>
      <c r="P109" s="492"/>
      <c r="Q109" s="492"/>
      <c r="R109" s="492"/>
      <c r="S109" s="938"/>
      <c r="T109" s="334"/>
      <c r="U109" s="334"/>
    </row>
    <row r="110" spans="1:21" ht="13.5" customHeight="1" x14ac:dyDescent="0.2">
      <c r="A110" s="1252"/>
      <c r="B110" s="991"/>
      <c r="C110" s="1035"/>
      <c r="D110" s="390" t="s">
        <v>6</v>
      </c>
      <c r="E110" s="355">
        <f>F110+G110+H110+I110+J110+K110</f>
        <v>0</v>
      </c>
      <c r="F110" s="355">
        <v>0</v>
      </c>
      <c r="G110" s="355">
        <v>0</v>
      </c>
      <c r="H110" s="355">
        <v>0</v>
      </c>
      <c r="I110" s="355">
        <v>0</v>
      </c>
      <c r="J110" s="355">
        <v>0</v>
      </c>
      <c r="K110" s="355">
        <v>0</v>
      </c>
      <c r="L110" s="526"/>
      <c r="M110" s="492"/>
      <c r="N110" s="492"/>
      <c r="O110" s="492"/>
      <c r="P110" s="492"/>
      <c r="Q110" s="492"/>
      <c r="R110" s="492"/>
      <c r="S110" s="938"/>
      <c r="T110" s="334"/>
      <c r="U110" s="334"/>
    </row>
    <row r="111" spans="1:21" ht="13.5" customHeight="1" x14ac:dyDescent="0.2">
      <c r="A111" s="927" t="s">
        <v>480</v>
      </c>
      <c r="B111" s="556" t="s">
        <v>479</v>
      </c>
      <c r="C111" s="1035"/>
      <c r="D111" s="1022"/>
      <c r="E111" s="388">
        <f>E112+E113</f>
        <v>197.64</v>
      </c>
      <c r="F111" s="388">
        <v>0</v>
      </c>
      <c r="G111" s="388">
        <v>0</v>
      </c>
      <c r="H111" s="388">
        <f>H112+H113</f>
        <v>197.64</v>
      </c>
      <c r="I111" s="388">
        <f>I112+I113</f>
        <v>0</v>
      </c>
      <c r="J111" s="388">
        <f>J112+J113</f>
        <v>0</v>
      </c>
      <c r="K111" s="388">
        <f>K112+K113</f>
        <v>0</v>
      </c>
      <c r="L111" s="526"/>
      <c r="M111" s="492"/>
      <c r="N111" s="492"/>
      <c r="O111" s="492"/>
      <c r="P111" s="492"/>
      <c r="Q111" s="492"/>
      <c r="R111" s="492"/>
      <c r="S111" s="938"/>
      <c r="T111" s="334"/>
      <c r="U111" s="334"/>
    </row>
    <row r="112" spans="1:21" ht="13.5" customHeight="1" x14ac:dyDescent="0.2">
      <c r="A112" s="933"/>
      <c r="B112" s="980"/>
      <c r="C112" s="1035"/>
      <c r="D112" s="389" t="s">
        <v>5</v>
      </c>
      <c r="E112" s="354">
        <f>F112+G112+H112+I112+J112+K112</f>
        <v>197.64</v>
      </c>
      <c r="F112" s="354">
        <v>0</v>
      </c>
      <c r="G112" s="354">
        <v>0</v>
      </c>
      <c r="H112" s="354">
        <v>197.64</v>
      </c>
      <c r="I112" s="354">
        <v>0</v>
      </c>
      <c r="J112" s="354">
        <v>0</v>
      </c>
      <c r="K112" s="354">
        <v>0</v>
      </c>
      <c r="L112" s="526"/>
      <c r="M112" s="492"/>
      <c r="N112" s="492"/>
      <c r="O112" s="492"/>
      <c r="P112" s="492"/>
      <c r="Q112" s="492"/>
      <c r="R112" s="492"/>
      <c r="S112" s="938"/>
      <c r="T112" s="334"/>
      <c r="U112" s="334"/>
    </row>
    <row r="113" spans="1:21" ht="13.5" customHeight="1" x14ac:dyDescent="0.2">
      <c r="A113" s="960"/>
      <c r="B113" s="991"/>
      <c r="C113" s="1035"/>
      <c r="D113" s="390" t="s">
        <v>6</v>
      </c>
      <c r="E113" s="355">
        <f>F113+G113+H113+I113+J113+K113</f>
        <v>0</v>
      </c>
      <c r="F113" s="355">
        <v>0</v>
      </c>
      <c r="G113" s="355">
        <v>0</v>
      </c>
      <c r="H113" s="355">
        <v>0</v>
      </c>
      <c r="I113" s="355">
        <v>0</v>
      </c>
      <c r="J113" s="355">
        <v>0</v>
      </c>
      <c r="K113" s="355">
        <v>0</v>
      </c>
      <c r="L113" s="526"/>
      <c r="M113" s="492"/>
      <c r="N113" s="492"/>
      <c r="O113" s="492"/>
      <c r="P113" s="492"/>
      <c r="Q113" s="492"/>
      <c r="R113" s="492"/>
      <c r="S113" s="938"/>
      <c r="T113" s="334"/>
      <c r="U113" s="334"/>
    </row>
    <row r="114" spans="1:21" ht="11.25" customHeight="1" x14ac:dyDescent="0.2">
      <c r="A114" s="927" t="s">
        <v>138</v>
      </c>
      <c r="B114" s="556" t="s">
        <v>489</v>
      </c>
      <c r="C114" s="1035"/>
      <c r="D114" s="389"/>
      <c r="E114" s="354">
        <f t="shared" ref="E114:K114" si="32">E115+E116</f>
        <v>396</v>
      </c>
      <c r="F114" s="354">
        <f t="shared" si="32"/>
        <v>0</v>
      </c>
      <c r="G114" s="354">
        <f t="shared" si="32"/>
        <v>396</v>
      </c>
      <c r="H114" s="354">
        <f t="shared" si="32"/>
        <v>0</v>
      </c>
      <c r="I114" s="354">
        <f t="shared" si="32"/>
        <v>0</v>
      </c>
      <c r="J114" s="354">
        <f t="shared" si="32"/>
        <v>0</v>
      </c>
      <c r="K114" s="354">
        <f t="shared" si="32"/>
        <v>0</v>
      </c>
      <c r="L114" s="526"/>
      <c r="M114" s="492"/>
      <c r="N114" s="492"/>
      <c r="O114" s="492"/>
      <c r="P114" s="492"/>
      <c r="Q114" s="492"/>
      <c r="R114" s="492"/>
      <c r="S114" s="938"/>
      <c r="T114" s="334"/>
      <c r="U114" s="334"/>
    </row>
    <row r="115" spans="1:21" ht="11.25" customHeight="1" x14ac:dyDescent="0.2">
      <c r="A115" s="1202"/>
      <c r="B115" s="980"/>
      <c r="C115" s="1035"/>
      <c r="D115" s="389" t="s">
        <v>5</v>
      </c>
      <c r="E115" s="354">
        <f>SUM(F115:K115)</f>
        <v>396</v>
      </c>
      <c r="F115" s="354">
        <v>0</v>
      </c>
      <c r="G115" s="354">
        <v>396</v>
      </c>
      <c r="H115" s="354">
        <v>0</v>
      </c>
      <c r="I115" s="354">
        <v>0</v>
      </c>
      <c r="J115" s="354">
        <v>0</v>
      </c>
      <c r="K115" s="354">
        <v>0</v>
      </c>
      <c r="L115" s="526"/>
      <c r="M115" s="492"/>
      <c r="N115" s="492"/>
      <c r="O115" s="492"/>
      <c r="P115" s="492"/>
      <c r="Q115" s="492"/>
      <c r="R115" s="492"/>
      <c r="S115" s="938"/>
      <c r="T115" s="334"/>
      <c r="U115" s="334"/>
    </row>
    <row r="116" spans="1:21" ht="11.25" customHeight="1" x14ac:dyDescent="0.2">
      <c r="A116" s="1252"/>
      <c r="B116" s="991"/>
      <c r="C116" s="1035"/>
      <c r="D116" s="390" t="s">
        <v>6</v>
      </c>
      <c r="E116" s="355">
        <f>SUM(F116:K116)</f>
        <v>0</v>
      </c>
      <c r="F116" s="355">
        <v>0</v>
      </c>
      <c r="G116" s="355">
        <v>0</v>
      </c>
      <c r="H116" s="355">
        <v>0</v>
      </c>
      <c r="I116" s="355">
        <v>0</v>
      </c>
      <c r="J116" s="355">
        <v>0</v>
      </c>
      <c r="K116" s="355">
        <v>0</v>
      </c>
      <c r="L116" s="526"/>
      <c r="M116" s="492"/>
      <c r="N116" s="492"/>
      <c r="O116" s="492"/>
      <c r="P116" s="492"/>
      <c r="Q116" s="492"/>
      <c r="R116" s="492"/>
      <c r="S116" s="938"/>
      <c r="T116" s="334"/>
      <c r="U116" s="334"/>
    </row>
    <row r="117" spans="1:21" ht="11.25" customHeight="1" x14ac:dyDescent="0.2">
      <c r="A117" s="927" t="s">
        <v>400</v>
      </c>
      <c r="B117" s="556" t="s">
        <v>410</v>
      </c>
      <c r="C117" s="1035"/>
      <c r="D117" s="389"/>
      <c r="E117" s="354">
        <f>E118+E119</f>
        <v>833.81</v>
      </c>
      <c r="F117" s="354">
        <f t="shared" ref="F117:K117" si="33">F118+F119</f>
        <v>0</v>
      </c>
      <c r="G117" s="354">
        <f t="shared" si="33"/>
        <v>833.81</v>
      </c>
      <c r="H117" s="354">
        <f t="shared" si="33"/>
        <v>0</v>
      </c>
      <c r="I117" s="354">
        <f t="shared" si="33"/>
        <v>0</v>
      </c>
      <c r="J117" s="354">
        <f t="shared" si="33"/>
        <v>0</v>
      </c>
      <c r="K117" s="354">
        <f t="shared" si="33"/>
        <v>0</v>
      </c>
      <c r="L117" s="526"/>
      <c r="M117" s="492"/>
      <c r="N117" s="492"/>
      <c r="O117" s="492"/>
      <c r="P117" s="492"/>
      <c r="Q117" s="492"/>
      <c r="R117" s="492"/>
      <c r="S117" s="938"/>
      <c r="T117" s="334"/>
      <c r="U117" s="334"/>
    </row>
    <row r="118" spans="1:21" ht="11.25" customHeight="1" x14ac:dyDescent="0.2">
      <c r="A118" s="1202"/>
      <c r="B118" s="557"/>
      <c r="C118" s="1035"/>
      <c r="D118" s="389" t="s">
        <v>5</v>
      </c>
      <c r="E118" s="354">
        <f>SUM(F118:K118)</f>
        <v>833.81</v>
      </c>
      <c r="F118" s="354">
        <v>0</v>
      </c>
      <c r="G118" s="354">
        <v>833.81</v>
      </c>
      <c r="H118" s="354">
        <v>0</v>
      </c>
      <c r="I118" s="354">
        <v>0</v>
      </c>
      <c r="J118" s="354">
        <v>0</v>
      </c>
      <c r="K118" s="354">
        <v>0</v>
      </c>
      <c r="L118" s="526"/>
      <c r="M118" s="492"/>
      <c r="N118" s="492"/>
      <c r="O118" s="492"/>
      <c r="P118" s="492"/>
      <c r="Q118" s="492"/>
      <c r="R118" s="492"/>
      <c r="S118" s="938"/>
      <c r="T118" s="334"/>
      <c r="U118" s="334"/>
    </row>
    <row r="119" spans="1:21" ht="11.25" customHeight="1" x14ac:dyDescent="0.2">
      <c r="A119" s="1252"/>
      <c r="B119" s="558"/>
      <c r="C119" s="1035"/>
      <c r="D119" s="390" t="s">
        <v>6</v>
      </c>
      <c r="E119" s="354">
        <f>SUM(F119:K119)</f>
        <v>0</v>
      </c>
      <c r="F119" s="354">
        <v>0</v>
      </c>
      <c r="G119" s="355">
        <v>0</v>
      </c>
      <c r="H119" s="354">
        <v>0</v>
      </c>
      <c r="I119" s="354">
        <v>0</v>
      </c>
      <c r="J119" s="354">
        <v>0</v>
      </c>
      <c r="K119" s="354">
        <v>0</v>
      </c>
      <c r="L119" s="526"/>
      <c r="M119" s="492"/>
      <c r="N119" s="492"/>
      <c r="O119" s="492"/>
      <c r="P119" s="492"/>
      <c r="Q119" s="492"/>
      <c r="R119" s="492"/>
      <c r="S119" s="938"/>
      <c r="T119" s="334"/>
      <c r="U119" s="334"/>
    </row>
    <row r="120" spans="1:21" ht="11.25" customHeight="1" x14ac:dyDescent="0.2">
      <c r="A120" s="927" t="s">
        <v>405</v>
      </c>
      <c r="B120" s="556" t="s">
        <v>433</v>
      </c>
      <c r="C120" s="1035"/>
      <c r="D120" s="389"/>
      <c r="E120" s="388">
        <f>E121+E122</f>
        <v>152</v>
      </c>
      <c r="F120" s="388">
        <f t="shared" ref="F120:K120" si="34">F121+F122</f>
        <v>0</v>
      </c>
      <c r="G120" s="354">
        <f t="shared" si="34"/>
        <v>152</v>
      </c>
      <c r="H120" s="388">
        <f t="shared" si="34"/>
        <v>0</v>
      </c>
      <c r="I120" s="388">
        <f t="shared" si="34"/>
        <v>0</v>
      </c>
      <c r="J120" s="388">
        <f t="shared" si="34"/>
        <v>0</v>
      </c>
      <c r="K120" s="388">
        <f t="shared" si="34"/>
        <v>0</v>
      </c>
      <c r="L120" s="526"/>
      <c r="M120" s="492"/>
      <c r="N120" s="492"/>
      <c r="O120" s="492"/>
      <c r="P120" s="492"/>
      <c r="Q120" s="492"/>
      <c r="R120" s="492"/>
      <c r="S120" s="938"/>
      <c r="T120" s="334"/>
      <c r="U120" s="334"/>
    </row>
    <row r="121" spans="1:21" ht="11.25" customHeight="1" x14ac:dyDescent="0.2">
      <c r="A121" s="1202"/>
      <c r="B121" s="980"/>
      <c r="C121" s="1035"/>
      <c r="D121" s="389" t="s">
        <v>5</v>
      </c>
      <c r="E121" s="354">
        <f>SUM(F121:K121)</f>
        <v>152</v>
      </c>
      <c r="F121" s="354">
        <v>0</v>
      </c>
      <c r="G121" s="354">
        <v>152</v>
      </c>
      <c r="H121" s="354">
        <v>0</v>
      </c>
      <c r="I121" s="354">
        <v>0</v>
      </c>
      <c r="J121" s="354">
        <v>0</v>
      </c>
      <c r="K121" s="354">
        <v>0</v>
      </c>
      <c r="L121" s="526"/>
      <c r="M121" s="492"/>
      <c r="N121" s="492"/>
      <c r="O121" s="492"/>
      <c r="P121" s="492"/>
      <c r="Q121" s="492"/>
      <c r="R121" s="492"/>
      <c r="S121" s="938"/>
      <c r="T121" s="334"/>
      <c r="U121" s="334"/>
    </row>
    <row r="122" spans="1:21" ht="11.25" customHeight="1" x14ac:dyDescent="0.2">
      <c r="A122" s="1252"/>
      <c r="B122" s="991"/>
      <c r="C122" s="1035"/>
      <c r="D122" s="390" t="s">
        <v>6</v>
      </c>
      <c r="E122" s="354">
        <f>SUM(F122:K122)</f>
        <v>0</v>
      </c>
      <c r="F122" s="355">
        <v>0</v>
      </c>
      <c r="G122" s="355">
        <v>0</v>
      </c>
      <c r="H122" s="355">
        <v>0</v>
      </c>
      <c r="I122" s="355">
        <v>0</v>
      </c>
      <c r="J122" s="355">
        <v>0</v>
      </c>
      <c r="K122" s="355">
        <v>0</v>
      </c>
      <c r="L122" s="527"/>
      <c r="M122" s="493"/>
      <c r="N122" s="493"/>
      <c r="O122" s="493"/>
      <c r="P122" s="493"/>
      <c r="Q122" s="493"/>
      <c r="R122" s="493"/>
      <c r="S122" s="961"/>
      <c r="T122" s="334"/>
      <c r="U122" s="334"/>
    </row>
    <row r="123" spans="1:21" ht="13.5" customHeight="1" x14ac:dyDescent="0.2">
      <c r="A123" s="927" t="s">
        <v>417</v>
      </c>
      <c r="B123" s="556" t="s">
        <v>411</v>
      </c>
      <c r="C123" s="1035"/>
      <c r="D123" s="1267" t="s">
        <v>570</v>
      </c>
      <c r="E123" s="1255">
        <f>F123+G123+H123+I123+J123+K123</f>
        <v>8113.09</v>
      </c>
      <c r="F123" s="1255">
        <f t="shared" ref="F123:K123" si="35">F124+F125</f>
        <v>0</v>
      </c>
      <c r="G123" s="1256">
        <f>G124+G125</f>
        <v>5256.43</v>
      </c>
      <c r="H123" s="1255">
        <f>H124+H125</f>
        <v>2856.66</v>
      </c>
      <c r="I123" s="1255">
        <f t="shared" si="35"/>
        <v>0</v>
      </c>
      <c r="J123" s="1255">
        <f t="shared" si="35"/>
        <v>0</v>
      </c>
      <c r="K123" s="1255">
        <f t="shared" si="35"/>
        <v>0</v>
      </c>
      <c r="L123" s="1268"/>
      <c r="M123" s="1269"/>
      <c r="N123" s="1269"/>
      <c r="O123" s="1269"/>
      <c r="P123" s="1269"/>
      <c r="Q123" s="1269"/>
      <c r="R123" s="1269"/>
      <c r="S123" s="1270"/>
      <c r="T123" s="334"/>
      <c r="U123" s="334"/>
    </row>
    <row r="124" spans="1:21" ht="10.5" customHeight="1" x14ac:dyDescent="0.2">
      <c r="A124" s="1202"/>
      <c r="B124" s="980"/>
      <c r="C124" s="1035"/>
      <c r="D124" s="389" t="s">
        <v>5</v>
      </c>
      <c r="E124" s="1256">
        <f>F124+G124+H124+I124+J124+K124</f>
        <v>262.83000000000004</v>
      </c>
      <c r="F124" s="1256">
        <v>0</v>
      </c>
      <c r="G124" s="1256">
        <f>G127+G130+G133</f>
        <v>262.83000000000004</v>
      </c>
      <c r="H124" s="1256">
        <f>H127+H130+H133+H136</f>
        <v>0</v>
      </c>
      <c r="I124" s="1256">
        <f t="shared" ref="I124:K125" si="36">I127+I130+I133</f>
        <v>0</v>
      </c>
      <c r="J124" s="1256">
        <f t="shared" si="36"/>
        <v>0</v>
      </c>
      <c r="K124" s="1256">
        <f t="shared" si="36"/>
        <v>0</v>
      </c>
      <c r="L124" s="1271"/>
      <c r="M124" s="1272"/>
      <c r="N124" s="1272"/>
      <c r="O124" s="1272"/>
      <c r="P124" s="1272"/>
      <c r="Q124" s="1272"/>
      <c r="R124" s="1272"/>
      <c r="S124" s="1273"/>
      <c r="T124" s="334"/>
      <c r="U124" s="334"/>
    </row>
    <row r="125" spans="1:21" ht="13.9" customHeight="1" x14ac:dyDescent="0.2">
      <c r="A125" s="1252"/>
      <c r="B125" s="991"/>
      <c r="C125" s="1035"/>
      <c r="D125" s="390" t="s">
        <v>6</v>
      </c>
      <c r="E125" s="1257">
        <f>F125+G125+H125+I125+J125+K125</f>
        <v>7850.26</v>
      </c>
      <c r="F125" s="1257">
        <v>0</v>
      </c>
      <c r="G125" s="1257">
        <f>G128+G131+G134</f>
        <v>4993.6000000000004</v>
      </c>
      <c r="H125" s="1257">
        <f>H128+H131+H134+H137</f>
        <v>2856.66</v>
      </c>
      <c r="I125" s="1257">
        <f t="shared" si="36"/>
        <v>0</v>
      </c>
      <c r="J125" s="1257">
        <f t="shared" si="36"/>
        <v>0</v>
      </c>
      <c r="K125" s="1257">
        <f t="shared" si="36"/>
        <v>0</v>
      </c>
      <c r="L125" s="1274"/>
      <c r="M125" s="1275"/>
      <c r="N125" s="1275"/>
      <c r="O125" s="1275"/>
      <c r="P125" s="1275"/>
      <c r="Q125" s="1275"/>
      <c r="R125" s="1275"/>
      <c r="S125" s="1276"/>
      <c r="T125" s="334"/>
      <c r="U125" s="334"/>
    </row>
    <row r="126" spans="1:21" ht="15" customHeight="1" x14ac:dyDescent="0.2">
      <c r="A126" s="927" t="s">
        <v>434</v>
      </c>
      <c r="B126" s="556" t="s">
        <v>412</v>
      </c>
      <c r="C126" s="1035"/>
      <c r="D126" s="389"/>
      <c r="E126" s="354">
        <f>E127+E128</f>
        <v>2105.2600000000002</v>
      </c>
      <c r="F126" s="354">
        <f t="shared" ref="F126:K126" si="37">F127+F128</f>
        <v>0</v>
      </c>
      <c r="G126" s="354">
        <f t="shared" si="37"/>
        <v>2105.2600000000002</v>
      </c>
      <c r="H126" s="354">
        <f t="shared" si="37"/>
        <v>0</v>
      </c>
      <c r="I126" s="354">
        <f t="shared" si="37"/>
        <v>0</v>
      </c>
      <c r="J126" s="354">
        <f t="shared" si="37"/>
        <v>0</v>
      </c>
      <c r="K126" s="354">
        <f t="shared" si="37"/>
        <v>0</v>
      </c>
      <c r="L126" s="531" t="s">
        <v>492</v>
      </c>
      <c r="M126" s="491">
        <v>0</v>
      </c>
      <c r="N126" s="491">
        <v>100</v>
      </c>
      <c r="O126" s="491">
        <v>0</v>
      </c>
      <c r="P126" s="491">
        <v>0</v>
      </c>
      <c r="Q126" s="491">
        <v>0</v>
      </c>
      <c r="R126" s="491">
        <v>0</v>
      </c>
      <c r="S126" s="528" t="s">
        <v>146</v>
      </c>
      <c r="T126" s="334"/>
      <c r="U126" s="334"/>
    </row>
    <row r="127" spans="1:21" ht="15" customHeight="1" x14ac:dyDescent="0.2">
      <c r="A127" s="1202"/>
      <c r="B127" s="980"/>
      <c r="C127" s="1035"/>
      <c r="D127" s="389" t="s">
        <v>5</v>
      </c>
      <c r="E127" s="354">
        <f>SUM(F127:K127)</f>
        <v>105.26</v>
      </c>
      <c r="F127" s="354">
        <v>0</v>
      </c>
      <c r="G127" s="354">
        <v>105.26</v>
      </c>
      <c r="H127" s="354">
        <v>0</v>
      </c>
      <c r="I127" s="354">
        <v>0</v>
      </c>
      <c r="J127" s="354">
        <v>0</v>
      </c>
      <c r="K127" s="354">
        <v>0</v>
      </c>
      <c r="L127" s="1277"/>
      <c r="M127" s="492"/>
      <c r="N127" s="492"/>
      <c r="O127" s="492"/>
      <c r="P127" s="492"/>
      <c r="Q127" s="492"/>
      <c r="R127" s="492"/>
      <c r="S127" s="938"/>
      <c r="T127" s="334"/>
      <c r="U127" s="334"/>
    </row>
    <row r="128" spans="1:21" ht="15" customHeight="1" x14ac:dyDescent="0.2">
      <c r="A128" s="1252"/>
      <c r="B128" s="991"/>
      <c r="C128" s="1035"/>
      <c r="D128" s="390" t="s">
        <v>6</v>
      </c>
      <c r="E128" s="355">
        <f>SUM(F128:K128)</f>
        <v>2000</v>
      </c>
      <c r="F128" s="355">
        <v>0</v>
      </c>
      <c r="G128" s="355">
        <v>2000</v>
      </c>
      <c r="H128" s="355">
        <v>0</v>
      </c>
      <c r="I128" s="355">
        <v>0</v>
      </c>
      <c r="J128" s="355">
        <v>0</v>
      </c>
      <c r="K128" s="355">
        <v>0</v>
      </c>
      <c r="L128" s="1277"/>
      <c r="M128" s="492"/>
      <c r="N128" s="492"/>
      <c r="O128" s="492"/>
      <c r="P128" s="492"/>
      <c r="Q128" s="492"/>
      <c r="R128" s="492"/>
      <c r="S128" s="938"/>
      <c r="T128" s="334"/>
      <c r="U128" s="334"/>
    </row>
    <row r="129" spans="1:21" ht="15" customHeight="1" x14ac:dyDescent="0.2">
      <c r="A129" s="927" t="s">
        <v>435</v>
      </c>
      <c r="B129" s="556" t="s">
        <v>413</v>
      </c>
      <c r="C129" s="1035"/>
      <c r="D129" s="389"/>
      <c r="E129" s="354">
        <f>E130+E131</f>
        <v>2665.4100000000003</v>
      </c>
      <c r="F129" s="354">
        <f t="shared" ref="F129:K129" si="38">F130+F131</f>
        <v>0</v>
      </c>
      <c r="G129" s="354">
        <f t="shared" si="38"/>
        <v>2665.4100000000003</v>
      </c>
      <c r="H129" s="354">
        <f t="shared" si="38"/>
        <v>0</v>
      </c>
      <c r="I129" s="354">
        <f t="shared" si="38"/>
        <v>0</v>
      </c>
      <c r="J129" s="354">
        <f t="shared" si="38"/>
        <v>0</v>
      </c>
      <c r="K129" s="354">
        <f t="shared" si="38"/>
        <v>0</v>
      </c>
      <c r="L129" s="1277"/>
      <c r="M129" s="492"/>
      <c r="N129" s="492"/>
      <c r="O129" s="492"/>
      <c r="P129" s="492"/>
      <c r="Q129" s="492"/>
      <c r="R129" s="492"/>
      <c r="S129" s="938"/>
      <c r="T129" s="334"/>
      <c r="U129" s="334"/>
    </row>
    <row r="130" spans="1:21" ht="15" customHeight="1" x14ac:dyDescent="0.2">
      <c r="A130" s="1202"/>
      <c r="B130" s="980"/>
      <c r="C130" s="1035"/>
      <c r="D130" s="389" t="s">
        <v>5</v>
      </c>
      <c r="E130" s="354">
        <f>SUM(F130:K130)</f>
        <v>133.28</v>
      </c>
      <c r="F130" s="354">
        <v>0</v>
      </c>
      <c r="G130" s="354">
        <v>133.28</v>
      </c>
      <c r="H130" s="354">
        <v>0</v>
      </c>
      <c r="I130" s="354">
        <v>0</v>
      </c>
      <c r="J130" s="354">
        <v>0</v>
      </c>
      <c r="K130" s="354">
        <v>0</v>
      </c>
      <c r="L130" s="1277"/>
      <c r="M130" s="492"/>
      <c r="N130" s="492"/>
      <c r="O130" s="492"/>
      <c r="P130" s="492"/>
      <c r="Q130" s="492"/>
      <c r="R130" s="492"/>
      <c r="S130" s="938"/>
      <c r="T130" s="334"/>
      <c r="U130" s="334"/>
    </row>
    <row r="131" spans="1:21" ht="15" customHeight="1" x14ac:dyDescent="0.2">
      <c r="A131" s="1252"/>
      <c r="B131" s="991"/>
      <c r="C131" s="1035"/>
      <c r="D131" s="390" t="s">
        <v>6</v>
      </c>
      <c r="E131" s="355">
        <f>SUM(F131:K131)</f>
        <v>2532.13</v>
      </c>
      <c r="F131" s="355">
        <v>0</v>
      </c>
      <c r="G131" s="355">
        <v>2532.13</v>
      </c>
      <c r="H131" s="355">
        <v>0</v>
      </c>
      <c r="I131" s="355">
        <v>0</v>
      </c>
      <c r="J131" s="355">
        <v>0</v>
      </c>
      <c r="K131" s="355">
        <v>0</v>
      </c>
      <c r="L131" s="1277"/>
      <c r="M131" s="493"/>
      <c r="N131" s="493"/>
      <c r="O131" s="493"/>
      <c r="P131" s="493"/>
      <c r="Q131" s="493"/>
      <c r="R131" s="493"/>
      <c r="S131" s="961"/>
      <c r="T131" s="334"/>
      <c r="U131" s="334"/>
    </row>
    <row r="132" spans="1:21" ht="15" customHeight="1" x14ac:dyDescent="0.2">
      <c r="A132" s="553" t="s">
        <v>449</v>
      </c>
      <c r="B132" s="556" t="s">
        <v>419</v>
      </c>
      <c r="C132" s="1035"/>
      <c r="D132" s="387"/>
      <c r="E132" s="354">
        <f t="shared" ref="E132:K132" si="39">E133+E134</f>
        <v>485.76000000000005</v>
      </c>
      <c r="F132" s="354">
        <f t="shared" si="39"/>
        <v>0</v>
      </c>
      <c r="G132" s="354">
        <f t="shared" si="39"/>
        <v>485.76000000000005</v>
      </c>
      <c r="H132" s="354">
        <f t="shared" si="39"/>
        <v>0</v>
      </c>
      <c r="I132" s="354">
        <f t="shared" si="39"/>
        <v>0</v>
      </c>
      <c r="J132" s="354">
        <f t="shared" si="39"/>
        <v>0</v>
      </c>
      <c r="K132" s="354">
        <f t="shared" si="39"/>
        <v>0</v>
      </c>
      <c r="L132" s="1277"/>
      <c r="M132" s="1209">
        <v>0</v>
      </c>
      <c r="N132" s="1209">
        <v>100</v>
      </c>
      <c r="O132" s="1209">
        <v>0</v>
      </c>
      <c r="P132" s="1209">
        <v>0</v>
      </c>
      <c r="Q132" s="1209">
        <v>0</v>
      </c>
      <c r="R132" s="1209">
        <v>0</v>
      </c>
      <c r="S132" s="553" t="s">
        <v>447</v>
      </c>
      <c r="T132" s="334"/>
      <c r="U132" s="334"/>
    </row>
    <row r="133" spans="1:21" ht="15.75" customHeight="1" x14ac:dyDescent="0.2">
      <c r="A133" s="554"/>
      <c r="B133" s="557"/>
      <c r="C133" s="1035"/>
      <c r="D133" s="389" t="s">
        <v>5</v>
      </c>
      <c r="E133" s="354">
        <f>SUM(F133:K133)</f>
        <v>24.29</v>
      </c>
      <c r="F133" s="354">
        <v>0</v>
      </c>
      <c r="G133" s="354">
        <v>24.29</v>
      </c>
      <c r="H133" s="354">
        <v>0</v>
      </c>
      <c r="I133" s="354">
        <v>0</v>
      </c>
      <c r="J133" s="354">
        <v>0</v>
      </c>
      <c r="K133" s="354">
        <v>0</v>
      </c>
      <c r="L133" s="1277"/>
      <c r="M133" s="1211"/>
      <c r="N133" s="1211"/>
      <c r="O133" s="1211"/>
      <c r="P133" s="1211"/>
      <c r="Q133" s="1211"/>
      <c r="R133" s="1211"/>
      <c r="S133" s="1223"/>
      <c r="T133" s="334"/>
      <c r="U133" s="334"/>
    </row>
    <row r="134" spans="1:21" ht="17.25" customHeight="1" x14ac:dyDescent="0.2">
      <c r="A134" s="555"/>
      <c r="B134" s="558"/>
      <c r="C134" s="1035"/>
      <c r="D134" s="390" t="s">
        <v>6</v>
      </c>
      <c r="E134" s="355">
        <f>SUM(F134:K134)</f>
        <v>461.47</v>
      </c>
      <c r="F134" s="355">
        <v>0</v>
      </c>
      <c r="G134" s="355">
        <v>461.47</v>
      </c>
      <c r="H134" s="355">
        <v>0</v>
      </c>
      <c r="I134" s="355">
        <v>0</v>
      </c>
      <c r="J134" s="355">
        <v>0</v>
      </c>
      <c r="K134" s="355">
        <v>0</v>
      </c>
      <c r="L134" s="1277"/>
      <c r="M134" s="1211"/>
      <c r="N134" s="1211"/>
      <c r="O134" s="1211"/>
      <c r="P134" s="1211"/>
      <c r="Q134" s="1211"/>
      <c r="R134" s="1211"/>
      <c r="S134" s="1230"/>
      <c r="T134" s="334"/>
      <c r="U134" s="334"/>
    </row>
    <row r="135" spans="1:21" ht="14.25" customHeight="1" x14ac:dyDescent="0.2">
      <c r="A135" s="553" t="s">
        <v>472</v>
      </c>
      <c r="B135" s="556" t="s">
        <v>473</v>
      </c>
      <c r="C135" s="1035"/>
      <c r="D135" s="387"/>
      <c r="E135" s="354">
        <f>E136+E137</f>
        <v>2856.66</v>
      </c>
      <c r="F135" s="354">
        <v>0</v>
      </c>
      <c r="G135" s="354">
        <v>0</v>
      </c>
      <c r="H135" s="388">
        <f t="shared" ref="H135" si="40">H136+H137</f>
        <v>2856.66</v>
      </c>
      <c r="I135" s="354">
        <v>0</v>
      </c>
      <c r="J135" s="354">
        <v>0</v>
      </c>
      <c r="K135" s="354">
        <v>0</v>
      </c>
      <c r="L135" s="1277"/>
      <c r="M135" s="1222">
        <v>0</v>
      </c>
      <c r="N135" s="1222">
        <v>0</v>
      </c>
      <c r="O135" s="1222">
        <v>100</v>
      </c>
      <c r="P135" s="1222">
        <v>0</v>
      </c>
      <c r="Q135" s="1222">
        <v>0</v>
      </c>
      <c r="R135" s="1222">
        <v>0</v>
      </c>
      <c r="S135" s="1278" t="s">
        <v>146</v>
      </c>
      <c r="T135" s="334"/>
      <c r="U135" s="334"/>
    </row>
    <row r="136" spans="1:21" ht="12.75" customHeight="1" x14ac:dyDescent="0.2">
      <c r="A136" s="554"/>
      <c r="B136" s="557"/>
      <c r="C136" s="1035"/>
      <c r="D136" s="389" t="s">
        <v>5</v>
      </c>
      <c r="E136" s="354">
        <f>F136+G136+H136+I136+J136+K136</f>
        <v>0</v>
      </c>
      <c r="F136" s="354">
        <v>0</v>
      </c>
      <c r="G136" s="354">
        <v>0</v>
      </c>
      <c r="H136" s="354">
        <f>150.35-150.35</f>
        <v>0</v>
      </c>
      <c r="I136" s="354">
        <v>0</v>
      </c>
      <c r="J136" s="354">
        <v>0</v>
      </c>
      <c r="K136" s="354">
        <v>0</v>
      </c>
      <c r="L136" s="1277"/>
      <c r="M136" s="1279"/>
      <c r="N136" s="1279"/>
      <c r="O136" s="1279"/>
      <c r="P136" s="1279"/>
      <c r="Q136" s="1279"/>
      <c r="R136" s="1279"/>
      <c r="S136" s="1280"/>
      <c r="T136" s="334"/>
      <c r="U136" s="334"/>
    </row>
    <row r="137" spans="1:21" ht="16.899999999999999" customHeight="1" x14ac:dyDescent="0.2">
      <c r="A137" s="555"/>
      <c r="B137" s="558"/>
      <c r="C137" s="1035"/>
      <c r="D137" s="390" t="s">
        <v>6</v>
      </c>
      <c r="E137" s="354">
        <f>F137+G137+H137+I137+J137+K137</f>
        <v>2856.66</v>
      </c>
      <c r="F137" s="354">
        <v>0</v>
      </c>
      <c r="G137" s="354">
        <v>0</v>
      </c>
      <c r="H137" s="355">
        <v>2856.66</v>
      </c>
      <c r="I137" s="354">
        <v>0</v>
      </c>
      <c r="J137" s="354">
        <v>0</v>
      </c>
      <c r="K137" s="354">
        <v>0</v>
      </c>
      <c r="L137" s="1281"/>
      <c r="M137" s="1227"/>
      <c r="N137" s="1227"/>
      <c r="O137" s="1227"/>
      <c r="P137" s="1227"/>
      <c r="Q137" s="1227"/>
      <c r="R137" s="1227"/>
      <c r="S137" s="1282"/>
      <c r="T137" s="334"/>
      <c r="U137" s="334"/>
    </row>
    <row r="138" spans="1:21" ht="18.75" customHeight="1" x14ac:dyDescent="0.2">
      <c r="A138" s="927" t="s">
        <v>418</v>
      </c>
      <c r="B138" s="556" t="s">
        <v>500</v>
      </c>
      <c r="C138" s="1035"/>
      <c r="D138" s="387" t="s">
        <v>11</v>
      </c>
      <c r="E138" s="1255">
        <f t="shared" ref="E138:E146" si="41">F138+G138+H138+I138+J138+K138</f>
        <v>8084.8940000000002</v>
      </c>
      <c r="F138" s="1255">
        <f t="shared" ref="F138:K138" si="42">F139+F140</f>
        <v>204.554</v>
      </c>
      <c r="G138" s="1255">
        <f t="shared" si="42"/>
        <v>0</v>
      </c>
      <c r="H138" s="1255">
        <f t="shared" si="42"/>
        <v>4380.34</v>
      </c>
      <c r="I138" s="1255">
        <f t="shared" si="42"/>
        <v>3500</v>
      </c>
      <c r="J138" s="1255">
        <f t="shared" si="42"/>
        <v>0</v>
      </c>
      <c r="K138" s="1255">
        <f t="shared" si="42"/>
        <v>0</v>
      </c>
      <c r="L138" s="531" t="s">
        <v>482</v>
      </c>
      <c r="M138" s="948">
        <v>100</v>
      </c>
      <c r="N138" s="948">
        <v>0</v>
      </c>
      <c r="O138" s="948">
        <v>100</v>
      </c>
      <c r="P138" s="948">
        <v>100</v>
      </c>
      <c r="Q138" s="948">
        <v>0</v>
      </c>
      <c r="R138" s="948">
        <v>0</v>
      </c>
      <c r="S138" s="553" t="s">
        <v>447</v>
      </c>
      <c r="T138" s="334"/>
      <c r="U138" s="334"/>
    </row>
    <row r="139" spans="1:21" ht="16.149999999999999" customHeight="1" x14ac:dyDescent="0.2">
      <c r="A139" s="1202"/>
      <c r="B139" s="980"/>
      <c r="C139" s="1035"/>
      <c r="D139" s="389" t="s">
        <v>5</v>
      </c>
      <c r="E139" s="354">
        <f t="shared" si="41"/>
        <v>8084.8940000000002</v>
      </c>
      <c r="F139" s="354">
        <f>264.3+30-89.826+0.07+0.01</f>
        <v>204.554</v>
      </c>
      <c r="G139" s="354">
        <v>0</v>
      </c>
      <c r="H139" s="354">
        <v>4380.34</v>
      </c>
      <c r="I139" s="354">
        <v>3500</v>
      </c>
      <c r="J139" s="354">
        <v>0</v>
      </c>
      <c r="K139" s="354">
        <v>0</v>
      </c>
      <c r="L139" s="532"/>
      <c r="M139" s="1032"/>
      <c r="N139" s="1032"/>
      <c r="O139" s="1032"/>
      <c r="P139" s="1032"/>
      <c r="Q139" s="1032"/>
      <c r="R139" s="1032"/>
      <c r="S139" s="1223"/>
      <c r="T139" s="334"/>
      <c r="U139" s="334"/>
    </row>
    <row r="140" spans="1:21" ht="38.25" customHeight="1" x14ac:dyDescent="0.2">
      <c r="A140" s="1252"/>
      <c r="B140" s="991"/>
      <c r="C140" s="1035"/>
      <c r="D140" s="390" t="s">
        <v>6</v>
      </c>
      <c r="E140" s="355">
        <f t="shared" si="41"/>
        <v>0</v>
      </c>
      <c r="F140" s="355">
        <v>0</v>
      </c>
      <c r="G140" s="355">
        <v>0</v>
      </c>
      <c r="H140" s="355">
        <v>0</v>
      </c>
      <c r="I140" s="355">
        <v>0</v>
      </c>
      <c r="J140" s="355">
        <v>0</v>
      </c>
      <c r="K140" s="355">
        <v>0</v>
      </c>
      <c r="L140" s="532"/>
      <c r="M140" s="1032"/>
      <c r="N140" s="1032"/>
      <c r="O140" s="1032"/>
      <c r="P140" s="1032"/>
      <c r="Q140" s="1032"/>
      <c r="R140" s="1032"/>
      <c r="S140" s="1230"/>
      <c r="T140" s="334"/>
      <c r="U140" s="334"/>
    </row>
    <row r="141" spans="1:21" ht="14.25" customHeight="1" x14ac:dyDescent="0.2">
      <c r="A141" s="927" t="s">
        <v>438</v>
      </c>
      <c r="B141" s="556" t="s">
        <v>488</v>
      </c>
      <c r="C141" s="1035"/>
      <c r="D141" s="387"/>
      <c r="E141" s="1255">
        <f t="shared" si="41"/>
        <v>155.52000000000001</v>
      </c>
      <c r="F141" s="1255">
        <f t="shared" ref="F141:K141" si="43">F142+F143</f>
        <v>155.52000000000001</v>
      </c>
      <c r="G141" s="1255">
        <f t="shared" si="43"/>
        <v>0</v>
      </c>
      <c r="H141" s="1255">
        <f t="shared" si="43"/>
        <v>0</v>
      </c>
      <c r="I141" s="1255">
        <f t="shared" si="43"/>
        <v>0</v>
      </c>
      <c r="J141" s="1255">
        <f t="shared" si="43"/>
        <v>0</v>
      </c>
      <c r="K141" s="1255">
        <f t="shared" si="43"/>
        <v>0</v>
      </c>
      <c r="L141" s="531" t="s">
        <v>482</v>
      </c>
      <c r="M141" s="948">
        <v>100</v>
      </c>
      <c r="N141" s="948">
        <v>0</v>
      </c>
      <c r="O141" s="948">
        <v>0</v>
      </c>
      <c r="P141" s="948">
        <v>0</v>
      </c>
      <c r="Q141" s="948">
        <v>0</v>
      </c>
      <c r="R141" s="948">
        <v>0</v>
      </c>
      <c r="S141" s="553" t="s">
        <v>447</v>
      </c>
      <c r="T141" s="334"/>
      <c r="U141" s="334"/>
    </row>
    <row r="142" spans="1:21" ht="10.9" customHeight="1" x14ac:dyDescent="0.2">
      <c r="A142" s="1202"/>
      <c r="B142" s="980"/>
      <c r="C142" s="1035"/>
      <c r="D142" s="389" t="s">
        <v>5</v>
      </c>
      <c r="E142" s="354">
        <f t="shared" si="41"/>
        <v>155.52000000000001</v>
      </c>
      <c r="F142" s="354">
        <v>155.52000000000001</v>
      </c>
      <c r="G142" s="354">
        <v>0</v>
      </c>
      <c r="H142" s="354">
        <v>0</v>
      </c>
      <c r="I142" s="354">
        <v>0</v>
      </c>
      <c r="J142" s="354">
        <v>0</v>
      </c>
      <c r="K142" s="354">
        <v>0</v>
      </c>
      <c r="L142" s="1277"/>
      <c r="M142" s="1032"/>
      <c r="N142" s="1032"/>
      <c r="O142" s="1032"/>
      <c r="P142" s="1032"/>
      <c r="Q142" s="1032"/>
      <c r="R142" s="1032"/>
      <c r="S142" s="1223"/>
      <c r="T142" s="334"/>
      <c r="U142" s="334"/>
    </row>
    <row r="143" spans="1:21" ht="57" customHeight="1" x14ac:dyDescent="0.2">
      <c r="A143" s="1252"/>
      <c r="B143" s="991"/>
      <c r="C143" s="1035"/>
      <c r="D143" s="390" t="s">
        <v>6</v>
      </c>
      <c r="E143" s="355">
        <f t="shared" si="41"/>
        <v>0</v>
      </c>
      <c r="F143" s="355">
        <v>0</v>
      </c>
      <c r="G143" s="355">
        <v>0</v>
      </c>
      <c r="H143" s="355">
        <v>0</v>
      </c>
      <c r="I143" s="355">
        <v>0</v>
      </c>
      <c r="J143" s="355">
        <v>0</v>
      </c>
      <c r="K143" s="355">
        <v>0</v>
      </c>
      <c r="L143" s="1281"/>
      <c r="M143" s="1032"/>
      <c r="N143" s="1032"/>
      <c r="O143" s="1032"/>
      <c r="P143" s="1032"/>
      <c r="Q143" s="1032"/>
      <c r="R143" s="1032"/>
      <c r="S143" s="1230"/>
      <c r="T143" s="334"/>
      <c r="U143" s="334"/>
    </row>
    <row r="144" spans="1:21" ht="21" customHeight="1" x14ac:dyDescent="0.2">
      <c r="A144" s="927" t="s">
        <v>439</v>
      </c>
      <c r="B144" s="556" t="s">
        <v>399</v>
      </c>
      <c r="C144" s="1035"/>
      <c r="D144" s="1220" t="s">
        <v>11</v>
      </c>
      <c r="E144" s="1255">
        <f t="shared" si="41"/>
        <v>223.11</v>
      </c>
      <c r="F144" s="1255">
        <f t="shared" ref="F144:K144" si="44">F145+F146</f>
        <v>223.11</v>
      </c>
      <c r="G144" s="1255">
        <f t="shared" si="44"/>
        <v>0</v>
      </c>
      <c r="H144" s="1255">
        <f t="shared" si="44"/>
        <v>0</v>
      </c>
      <c r="I144" s="1255">
        <f t="shared" si="44"/>
        <v>0</v>
      </c>
      <c r="J144" s="1255">
        <f t="shared" si="44"/>
        <v>0</v>
      </c>
      <c r="K144" s="1255">
        <f t="shared" si="44"/>
        <v>0</v>
      </c>
      <c r="L144" s="528"/>
      <c r="M144" s="1283"/>
      <c r="N144" s="1283"/>
      <c r="O144" s="1283"/>
      <c r="P144" s="1283"/>
      <c r="Q144" s="1283"/>
      <c r="R144" s="1283"/>
      <c r="S144" s="1284"/>
      <c r="T144" s="334"/>
      <c r="U144" s="334"/>
    </row>
    <row r="145" spans="1:21" ht="12" customHeight="1" x14ac:dyDescent="0.2">
      <c r="A145" s="1285"/>
      <c r="B145" s="1285"/>
      <c r="C145" s="1035"/>
      <c r="D145" s="1068" t="s">
        <v>5</v>
      </c>
      <c r="E145" s="354">
        <f t="shared" si="41"/>
        <v>223.11</v>
      </c>
      <c r="F145" s="354">
        <f>F148+F151+F154</f>
        <v>223.11</v>
      </c>
      <c r="G145" s="354">
        <v>0</v>
      </c>
      <c r="H145" s="354">
        <v>0</v>
      </c>
      <c r="I145" s="354">
        <v>0</v>
      </c>
      <c r="J145" s="354">
        <v>0</v>
      </c>
      <c r="K145" s="354">
        <v>0</v>
      </c>
      <c r="L145" s="938"/>
      <c r="M145" s="1202"/>
      <c r="N145" s="1202"/>
      <c r="O145" s="1202"/>
      <c r="P145" s="1202"/>
      <c r="Q145" s="1202"/>
      <c r="R145" s="1202"/>
      <c r="S145" s="1284"/>
      <c r="T145" s="334"/>
      <c r="U145" s="334"/>
    </row>
    <row r="146" spans="1:21" ht="13.5" customHeight="1" x14ac:dyDescent="0.2">
      <c r="A146" s="1285"/>
      <c r="B146" s="1285"/>
      <c r="C146" s="1035"/>
      <c r="D146" s="1068" t="s">
        <v>6</v>
      </c>
      <c r="E146" s="355">
        <f t="shared" si="41"/>
        <v>0</v>
      </c>
      <c r="F146" s="355">
        <f>F149+F152+F155</f>
        <v>0</v>
      </c>
      <c r="G146" s="355">
        <v>0</v>
      </c>
      <c r="H146" s="355">
        <v>0</v>
      </c>
      <c r="I146" s="355">
        <v>0</v>
      </c>
      <c r="J146" s="355">
        <v>0</v>
      </c>
      <c r="K146" s="355">
        <v>0</v>
      </c>
      <c r="L146" s="961"/>
      <c r="M146" s="1252"/>
      <c r="N146" s="1252"/>
      <c r="O146" s="1252"/>
      <c r="P146" s="1252"/>
      <c r="Q146" s="1252"/>
      <c r="R146" s="1252"/>
      <c r="S146" s="1284"/>
      <c r="T146" s="334"/>
      <c r="U146" s="334"/>
    </row>
    <row r="147" spans="1:21" ht="12" customHeight="1" x14ac:dyDescent="0.2">
      <c r="A147" s="1285"/>
      <c r="B147" s="1285"/>
      <c r="C147" s="1035"/>
      <c r="D147" s="1220"/>
      <c r="E147" s="1251">
        <f t="shared" ref="E147:K147" si="45">E148+E149</f>
        <v>130.92000000000002</v>
      </c>
      <c r="F147" s="356">
        <f t="shared" si="45"/>
        <v>130.92000000000002</v>
      </c>
      <c r="G147" s="356">
        <f t="shared" si="45"/>
        <v>0</v>
      </c>
      <c r="H147" s="356">
        <f t="shared" si="45"/>
        <v>0</v>
      </c>
      <c r="I147" s="356">
        <f t="shared" si="45"/>
        <v>0</v>
      </c>
      <c r="J147" s="356">
        <f t="shared" si="45"/>
        <v>0</v>
      </c>
      <c r="K147" s="356">
        <f t="shared" si="45"/>
        <v>0</v>
      </c>
      <c r="L147" s="531" t="s">
        <v>482</v>
      </c>
      <c r="M147" s="948">
        <v>100</v>
      </c>
      <c r="N147" s="948">
        <v>0</v>
      </c>
      <c r="O147" s="948">
        <v>0</v>
      </c>
      <c r="P147" s="948">
        <v>0</v>
      </c>
      <c r="Q147" s="948">
        <v>0</v>
      </c>
      <c r="R147" s="948">
        <v>0</v>
      </c>
      <c r="S147" s="553" t="s">
        <v>447</v>
      </c>
      <c r="T147" s="334"/>
      <c r="U147" s="334"/>
    </row>
    <row r="148" spans="1:21" ht="12" customHeight="1" x14ac:dyDescent="0.2">
      <c r="A148" s="1285"/>
      <c r="B148" s="1285"/>
      <c r="C148" s="1035"/>
      <c r="D148" s="1068" t="s">
        <v>5</v>
      </c>
      <c r="E148" s="1239">
        <f>F148+G148+H148+I148+J148+K148</f>
        <v>130.92000000000002</v>
      </c>
      <c r="F148" s="354">
        <f>130.99-0.07</f>
        <v>130.92000000000002</v>
      </c>
      <c r="G148" s="354">
        <v>0</v>
      </c>
      <c r="H148" s="354">
        <v>0</v>
      </c>
      <c r="I148" s="354">
        <v>0</v>
      </c>
      <c r="J148" s="354">
        <v>0</v>
      </c>
      <c r="K148" s="354">
        <v>0</v>
      </c>
      <c r="L148" s="532"/>
      <c r="M148" s="1032"/>
      <c r="N148" s="1032"/>
      <c r="O148" s="1032"/>
      <c r="P148" s="1032"/>
      <c r="Q148" s="1032"/>
      <c r="R148" s="1032"/>
      <c r="S148" s="1223"/>
      <c r="T148" s="334"/>
      <c r="U148" s="334"/>
    </row>
    <row r="149" spans="1:21" ht="12" customHeight="1" x14ac:dyDescent="0.2">
      <c r="A149" s="1285"/>
      <c r="B149" s="1285"/>
      <c r="C149" s="1035"/>
      <c r="D149" s="1068" t="s">
        <v>6</v>
      </c>
      <c r="E149" s="1239">
        <f>F149+G149+H149+I149+J149+K149</f>
        <v>0</v>
      </c>
      <c r="F149" s="355">
        <v>0</v>
      </c>
      <c r="G149" s="355">
        <v>0</v>
      </c>
      <c r="H149" s="355">
        <v>0</v>
      </c>
      <c r="I149" s="355">
        <v>0</v>
      </c>
      <c r="J149" s="355">
        <v>0</v>
      </c>
      <c r="K149" s="355">
        <v>0</v>
      </c>
      <c r="L149" s="532"/>
      <c r="M149" s="1032"/>
      <c r="N149" s="1032"/>
      <c r="O149" s="1032"/>
      <c r="P149" s="1032"/>
      <c r="Q149" s="1032"/>
      <c r="R149" s="1032"/>
      <c r="S149" s="1230"/>
      <c r="T149" s="334"/>
      <c r="U149" s="334"/>
    </row>
    <row r="150" spans="1:21" ht="13.5" customHeight="1" x14ac:dyDescent="0.2">
      <c r="A150" s="1285"/>
      <c r="B150" s="1285"/>
      <c r="C150" s="1035"/>
      <c r="D150" s="1220"/>
      <c r="E150" s="356">
        <f t="shared" ref="E150:K150" si="46">E151+E152</f>
        <v>41.379999999999995</v>
      </c>
      <c r="F150" s="356">
        <f t="shared" si="46"/>
        <v>41.379999999999995</v>
      </c>
      <c r="G150" s="356">
        <f t="shared" si="46"/>
        <v>0</v>
      </c>
      <c r="H150" s="356">
        <f t="shared" si="46"/>
        <v>0</v>
      </c>
      <c r="I150" s="356">
        <f t="shared" si="46"/>
        <v>0</v>
      </c>
      <c r="J150" s="356">
        <f t="shared" si="46"/>
        <v>0</v>
      </c>
      <c r="K150" s="356">
        <f t="shared" si="46"/>
        <v>0</v>
      </c>
      <c r="L150" s="532"/>
      <c r="M150" s="948">
        <v>100</v>
      </c>
      <c r="N150" s="948">
        <v>0</v>
      </c>
      <c r="O150" s="948">
        <v>0</v>
      </c>
      <c r="P150" s="948">
        <v>0</v>
      </c>
      <c r="Q150" s="948">
        <v>0</v>
      </c>
      <c r="R150" s="948">
        <v>0</v>
      </c>
      <c r="S150" s="553" t="s">
        <v>484</v>
      </c>
      <c r="T150" s="334"/>
      <c r="U150" s="334"/>
    </row>
    <row r="151" spans="1:21" ht="12" customHeight="1" x14ac:dyDescent="0.2">
      <c r="A151" s="1285"/>
      <c r="B151" s="1285"/>
      <c r="C151" s="1035"/>
      <c r="D151" s="1068" t="s">
        <v>5</v>
      </c>
      <c r="E151" s="1239">
        <f>F151+G151+H151+I151+J151+K151</f>
        <v>41.379999999999995</v>
      </c>
      <c r="F151" s="354">
        <f>250-208.62</f>
        <v>41.379999999999995</v>
      </c>
      <c r="G151" s="354">
        <v>0</v>
      </c>
      <c r="H151" s="354">
        <v>0</v>
      </c>
      <c r="I151" s="354">
        <v>0</v>
      </c>
      <c r="J151" s="354">
        <v>0</v>
      </c>
      <c r="K151" s="354">
        <v>0</v>
      </c>
      <c r="L151" s="532"/>
      <c r="M151" s="1032"/>
      <c r="N151" s="1032"/>
      <c r="O151" s="1032"/>
      <c r="P151" s="1032"/>
      <c r="Q151" s="1032"/>
      <c r="R151" s="1032"/>
      <c r="S151" s="554"/>
      <c r="T151" s="334"/>
      <c r="U151" s="334"/>
    </row>
    <row r="152" spans="1:21" ht="12" customHeight="1" x14ac:dyDescent="0.2">
      <c r="A152" s="1285"/>
      <c r="B152" s="1285"/>
      <c r="C152" s="1035"/>
      <c r="D152" s="1068" t="s">
        <v>6</v>
      </c>
      <c r="E152" s="1239">
        <f>F152+G152+H152+I152+J152+K152</f>
        <v>0</v>
      </c>
      <c r="F152" s="355">
        <v>0</v>
      </c>
      <c r="G152" s="355">
        <v>0</v>
      </c>
      <c r="H152" s="355">
        <v>0</v>
      </c>
      <c r="I152" s="355">
        <v>0</v>
      </c>
      <c r="J152" s="355">
        <v>0</v>
      </c>
      <c r="K152" s="355">
        <v>0</v>
      </c>
      <c r="L152" s="532"/>
      <c r="M152" s="1032"/>
      <c r="N152" s="1032"/>
      <c r="O152" s="1032"/>
      <c r="P152" s="1032"/>
      <c r="Q152" s="1032"/>
      <c r="R152" s="1032"/>
      <c r="S152" s="555"/>
      <c r="T152" s="334"/>
      <c r="U152" s="334"/>
    </row>
    <row r="153" spans="1:21" ht="13.5" customHeight="1" x14ac:dyDescent="0.2">
      <c r="A153" s="1285"/>
      <c r="B153" s="1285"/>
      <c r="C153" s="1258"/>
      <c r="D153" s="1220"/>
      <c r="E153" s="1286">
        <f>E154+E155</f>
        <v>50.81</v>
      </c>
      <c r="F153" s="356">
        <f t="shared" ref="F153:K153" si="47">F154+F155</f>
        <v>50.81</v>
      </c>
      <c r="G153" s="356">
        <f t="shared" si="47"/>
        <v>0</v>
      </c>
      <c r="H153" s="356">
        <f t="shared" si="47"/>
        <v>0</v>
      </c>
      <c r="I153" s="356">
        <f t="shared" si="47"/>
        <v>0</v>
      </c>
      <c r="J153" s="356">
        <f t="shared" si="47"/>
        <v>0</v>
      </c>
      <c r="K153" s="356">
        <f t="shared" si="47"/>
        <v>0</v>
      </c>
      <c r="L153" s="532"/>
      <c r="M153" s="948">
        <v>100</v>
      </c>
      <c r="N153" s="948">
        <v>0</v>
      </c>
      <c r="O153" s="948">
        <v>0</v>
      </c>
      <c r="P153" s="948">
        <v>0</v>
      </c>
      <c r="Q153" s="948">
        <v>0</v>
      </c>
      <c r="R153" s="948">
        <v>0</v>
      </c>
      <c r="S153" s="553" t="s">
        <v>486</v>
      </c>
      <c r="T153" s="334"/>
      <c r="U153" s="334"/>
    </row>
    <row r="154" spans="1:21" ht="12" customHeight="1" x14ac:dyDescent="0.2">
      <c r="A154" s="1285"/>
      <c r="B154" s="1285"/>
      <c r="C154" s="1258"/>
      <c r="D154" s="1068" t="s">
        <v>5</v>
      </c>
      <c r="E154" s="1287">
        <f>F154+G154+H154+I154+J154+K154</f>
        <v>50.81</v>
      </c>
      <c r="F154" s="354">
        <f>272.81-222</f>
        <v>50.81</v>
      </c>
      <c r="G154" s="354">
        <v>0</v>
      </c>
      <c r="H154" s="354">
        <v>0</v>
      </c>
      <c r="I154" s="354">
        <v>0</v>
      </c>
      <c r="J154" s="354">
        <v>0</v>
      </c>
      <c r="K154" s="354">
        <v>0</v>
      </c>
      <c r="L154" s="532"/>
      <c r="M154" s="1032"/>
      <c r="N154" s="1032"/>
      <c r="O154" s="1032"/>
      <c r="P154" s="1032"/>
      <c r="Q154" s="1032"/>
      <c r="R154" s="1032"/>
      <c r="S154" s="1223"/>
      <c r="T154" s="334"/>
      <c r="U154" s="334"/>
    </row>
    <row r="155" spans="1:21" ht="12" customHeight="1" x14ac:dyDescent="0.2">
      <c r="A155" s="1288"/>
      <c r="B155" s="1288"/>
      <c r="C155" s="1258"/>
      <c r="D155" s="1108" t="s">
        <v>6</v>
      </c>
      <c r="E155" s="1287">
        <f>F155+G155+H155+I155+J155+K155</f>
        <v>0</v>
      </c>
      <c r="F155" s="354">
        <v>0</v>
      </c>
      <c r="G155" s="354">
        <v>0</v>
      </c>
      <c r="H155" s="354">
        <v>0</v>
      </c>
      <c r="I155" s="354">
        <v>0</v>
      </c>
      <c r="J155" s="354">
        <v>0</v>
      </c>
      <c r="K155" s="354">
        <v>0</v>
      </c>
      <c r="L155" s="533"/>
      <c r="M155" s="1289"/>
      <c r="N155" s="1289"/>
      <c r="O155" s="1289"/>
      <c r="P155" s="1289"/>
      <c r="Q155" s="1289"/>
      <c r="R155" s="1289"/>
      <c r="S155" s="1223"/>
      <c r="T155" s="334"/>
      <c r="U155" s="334"/>
    </row>
    <row r="156" spans="1:21" ht="22.5" customHeight="1" x14ac:dyDescent="0.2">
      <c r="A156" s="1290" t="s">
        <v>464</v>
      </c>
      <c r="B156" s="556" t="s">
        <v>495</v>
      </c>
      <c r="C156" s="389"/>
      <c r="D156" s="389" t="s">
        <v>316</v>
      </c>
      <c r="E156" s="356">
        <f t="shared" ref="E156:K156" si="48">E157+E158</f>
        <v>100</v>
      </c>
      <c r="F156" s="1291">
        <f t="shared" si="48"/>
        <v>0</v>
      </c>
      <c r="G156" s="356">
        <f t="shared" si="48"/>
        <v>0</v>
      </c>
      <c r="H156" s="1291">
        <f t="shared" si="48"/>
        <v>0</v>
      </c>
      <c r="I156" s="356">
        <f t="shared" si="48"/>
        <v>0</v>
      </c>
      <c r="J156" s="1291">
        <f t="shared" si="48"/>
        <v>100</v>
      </c>
      <c r="K156" s="356">
        <f t="shared" si="48"/>
        <v>0</v>
      </c>
      <c r="L156" s="531" t="s">
        <v>482</v>
      </c>
      <c r="M156" s="491">
        <v>100</v>
      </c>
      <c r="N156" s="491">
        <v>0</v>
      </c>
      <c r="O156" s="491">
        <v>0</v>
      </c>
      <c r="P156" s="491">
        <v>100</v>
      </c>
      <c r="Q156" s="491">
        <v>100</v>
      </c>
      <c r="R156" s="491">
        <v>100</v>
      </c>
      <c r="S156" s="528" t="s">
        <v>496</v>
      </c>
      <c r="T156" s="334"/>
      <c r="U156" s="334"/>
    </row>
    <row r="157" spans="1:21" ht="15" customHeight="1" x14ac:dyDescent="0.2">
      <c r="A157" s="1292"/>
      <c r="B157" s="980"/>
      <c r="C157" s="389"/>
      <c r="D157" s="389" t="s">
        <v>5</v>
      </c>
      <c r="E157" s="1239">
        <f>F157+G157+H157+I157+J157+K157</f>
        <v>100</v>
      </c>
      <c r="F157" s="1293">
        <v>0</v>
      </c>
      <c r="G157" s="1239">
        <v>0</v>
      </c>
      <c r="H157" s="1293">
        <v>0</v>
      </c>
      <c r="I157" s="1239">
        <f>60-60</f>
        <v>0</v>
      </c>
      <c r="J157" s="1293">
        <v>100</v>
      </c>
      <c r="K157" s="1239">
        <v>0</v>
      </c>
      <c r="L157" s="532"/>
      <c r="M157" s="492"/>
      <c r="N157" s="492"/>
      <c r="O157" s="492"/>
      <c r="P157" s="492"/>
      <c r="Q157" s="492"/>
      <c r="R157" s="492"/>
      <c r="S157" s="529"/>
      <c r="T157" s="334"/>
      <c r="U157" s="334"/>
    </row>
    <row r="158" spans="1:21" ht="34.5" customHeight="1" x14ac:dyDescent="0.2">
      <c r="A158" s="952"/>
      <c r="B158" s="991"/>
      <c r="C158" s="389"/>
      <c r="D158" s="389" t="s">
        <v>6</v>
      </c>
      <c r="E158" s="1240">
        <f>F158+G158+H158+I158+J158+K158</f>
        <v>0</v>
      </c>
      <c r="F158" s="1294">
        <v>0</v>
      </c>
      <c r="G158" s="1240">
        <v>0</v>
      </c>
      <c r="H158" s="1294">
        <v>0</v>
      </c>
      <c r="I158" s="1240">
        <v>0</v>
      </c>
      <c r="J158" s="1294">
        <v>0</v>
      </c>
      <c r="K158" s="1240">
        <v>0</v>
      </c>
      <c r="L158" s="533"/>
      <c r="M158" s="493"/>
      <c r="N158" s="493"/>
      <c r="O158" s="493"/>
      <c r="P158" s="493"/>
      <c r="Q158" s="493"/>
      <c r="R158" s="493"/>
      <c r="S158" s="530"/>
      <c r="T158" s="334"/>
      <c r="U158" s="334"/>
    </row>
    <row r="159" spans="1:21" ht="22.5" customHeight="1" x14ac:dyDescent="0.2">
      <c r="A159" s="1290" t="s">
        <v>516</v>
      </c>
      <c r="B159" s="556" t="s">
        <v>517</v>
      </c>
      <c r="C159" s="389"/>
      <c r="D159" s="389" t="s">
        <v>316</v>
      </c>
      <c r="E159" s="1295">
        <f t="shared" ref="E159:K159" si="49">E160+E161</f>
        <v>376</v>
      </c>
      <c r="F159" s="1296">
        <f t="shared" si="49"/>
        <v>0</v>
      </c>
      <c r="G159" s="1295">
        <f t="shared" si="49"/>
        <v>0</v>
      </c>
      <c r="H159" s="1296">
        <f t="shared" si="49"/>
        <v>0</v>
      </c>
      <c r="I159" s="1295">
        <f t="shared" si="49"/>
        <v>376</v>
      </c>
      <c r="J159" s="1296">
        <f t="shared" si="49"/>
        <v>0</v>
      </c>
      <c r="K159" s="1295">
        <f t="shared" si="49"/>
        <v>0</v>
      </c>
      <c r="L159" s="531" t="s">
        <v>482</v>
      </c>
      <c r="M159" s="491">
        <v>100</v>
      </c>
      <c r="N159" s="491">
        <v>0</v>
      </c>
      <c r="O159" s="491">
        <v>0</v>
      </c>
      <c r="P159" s="491">
        <v>100</v>
      </c>
      <c r="Q159" s="491">
        <v>100</v>
      </c>
      <c r="R159" s="491">
        <v>100</v>
      </c>
      <c r="S159" s="528" t="s">
        <v>518</v>
      </c>
      <c r="T159" s="334"/>
      <c r="U159" s="334"/>
    </row>
    <row r="160" spans="1:21" ht="15" customHeight="1" x14ac:dyDescent="0.2">
      <c r="A160" s="1292"/>
      <c r="B160" s="980"/>
      <c r="C160" s="389"/>
      <c r="D160" s="389" t="s">
        <v>5</v>
      </c>
      <c r="E160" s="1239">
        <f>F160+G160+H160+I160+J160+K160</f>
        <v>376</v>
      </c>
      <c r="F160" s="1293">
        <v>0</v>
      </c>
      <c r="G160" s="1239">
        <v>0</v>
      </c>
      <c r="H160" s="1293">
        <v>0</v>
      </c>
      <c r="I160" s="1239">
        <v>376</v>
      </c>
      <c r="J160" s="1293">
        <v>0</v>
      </c>
      <c r="K160" s="1239">
        <v>0</v>
      </c>
      <c r="L160" s="532"/>
      <c r="M160" s="492"/>
      <c r="N160" s="492"/>
      <c r="O160" s="492"/>
      <c r="P160" s="492"/>
      <c r="Q160" s="492"/>
      <c r="R160" s="492"/>
      <c r="S160" s="529"/>
      <c r="T160" s="334"/>
      <c r="U160" s="334"/>
    </row>
    <row r="161" spans="1:21" ht="32.25" customHeight="1" x14ac:dyDescent="0.2">
      <c r="A161" s="952"/>
      <c r="B161" s="991"/>
      <c r="C161" s="389"/>
      <c r="D161" s="389" t="s">
        <v>6</v>
      </c>
      <c r="E161" s="1240">
        <f>F161+G161+H161+I161+J161+K161</f>
        <v>0</v>
      </c>
      <c r="F161" s="1294">
        <v>0</v>
      </c>
      <c r="G161" s="1240">
        <v>0</v>
      </c>
      <c r="H161" s="1294">
        <v>0</v>
      </c>
      <c r="I161" s="1240">
        <v>0</v>
      </c>
      <c r="J161" s="1294">
        <v>0</v>
      </c>
      <c r="K161" s="1240">
        <v>0</v>
      </c>
      <c r="L161" s="533"/>
      <c r="M161" s="493"/>
      <c r="N161" s="493"/>
      <c r="O161" s="493"/>
      <c r="P161" s="493"/>
      <c r="Q161" s="493"/>
      <c r="R161" s="493"/>
      <c r="S161" s="530"/>
      <c r="T161" s="334"/>
      <c r="U161" s="334"/>
    </row>
    <row r="162" spans="1:21" ht="17.25" customHeight="1" x14ac:dyDescent="0.2">
      <c r="A162" s="1290" t="s">
        <v>521</v>
      </c>
      <c r="B162" s="556" t="s">
        <v>522</v>
      </c>
      <c r="C162" s="389"/>
      <c r="D162" s="389" t="s">
        <v>316</v>
      </c>
      <c r="E162" s="356">
        <f t="shared" ref="E162:K162" si="50">E163+E164</f>
        <v>3610.93</v>
      </c>
      <c r="F162" s="1291">
        <f t="shared" si="50"/>
        <v>0</v>
      </c>
      <c r="G162" s="356">
        <f t="shared" si="50"/>
        <v>0</v>
      </c>
      <c r="H162" s="1291">
        <f t="shared" si="50"/>
        <v>0</v>
      </c>
      <c r="I162" s="356">
        <f t="shared" si="50"/>
        <v>3610.93</v>
      </c>
      <c r="J162" s="1291">
        <f t="shared" si="50"/>
        <v>0</v>
      </c>
      <c r="K162" s="356">
        <f t="shared" si="50"/>
        <v>0</v>
      </c>
      <c r="L162" s="531"/>
      <c r="M162" s="491"/>
      <c r="N162" s="491"/>
      <c r="O162" s="491"/>
      <c r="P162" s="491"/>
      <c r="Q162" s="491"/>
      <c r="R162" s="491"/>
      <c r="S162" s="528"/>
      <c r="T162" s="334"/>
      <c r="U162" s="334"/>
    </row>
    <row r="163" spans="1:21" ht="17.25" customHeight="1" x14ac:dyDescent="0.2">
      <c r="A163" s="1292"/>
      <c r="B163" s="980"/>
      <c r="C163" s="389"/>
      <c r="D163" s="389" t="s">
        <v>5</v>
      </c>
      <c r="E163" s="1239">
        <f>F163+G163+H163+I163+J163+K163</f>
        <v>630.11</v>
      </c>
      <c r="F163" s="1293">
        <v>0</v>
      </c>
      <c r="G163" s="1239">
        <v>0</v>
      </c>
      <c r="H163" s="1293">
        <v>0</v>
      </c>
      <c r="I163" s="1239">
        <f>I166+I169</f>
        <v>630.11</v>
      </c>
      <c r="J163" s="1293">
        <v>0</v>
      </c>
      <c r="K163" s="1239">
        <v>0</v>
      </c>
      <c r="L163" s="532"/>
      <c r="M163" s="492"/>
      <c r="N163" s="492"/>
      <c r="O163" s="492"/>
      <c r="P163" s="492"/>
      <c r="Q163" s="492"/>
      <c r="R163" s="492"/>
      <c r="S163" s="529"/>
      <c r="T163" s="334"/>
      <c r="U163" s="334"/>
    </row>
    <row r="164" spans="1:21" ht="17.25" customHeight="1" x14ac:dyDescent="0.2">
      <c r="A164" s="952"/>
      <c r="B164" s="991"/>
      <c r="C164" s="389"/>
      <c r="D164" s="389" t="s">
        <v>6</v>
      </c>
      <c r="E164" s="1240">
        <f>F164+G164+H164+I164+J164+K164</f>
        <v>2980.8199999999997</v>
      </c>
      <c r="F164" s="1294">
        <v>0</v>
      </c>
      <c r="G164" s="1240">
        <v>0</v>
      </c>
      <c r="H164" s="1294">
        <v>0</v>
      </c>
      <c r="I164" s="1240">
        <f>I167+I170</f>
        <v>2980.8199999999997</v>
      </c>
      <c r="J164" s="1294">
        <v>0</v>
      </c>
      <c r="K164" s="1240">
        <v>0</v>
      </c>
      <c r="L164" s="533"/>
      <c r="M164" s="493"/>
      <c r="N164" s="493"/>
      <c r="O164" s="493"/>
      <c r="P164" s="493"/>
      <c r="Q164" s="493"/>
      <c r="R164" s="493"/>
      <c r="S164" s="530"/>
      <c r="T164" s="334"/>
      <c r="U164" s="334"/>
    </row>
    <row r="165" spans="1:21" ht="22.5" customHeight="1" x14ac:dyDescent="0.2">
      <c r="A165" s="1290" t="s">
        <v>536</v>
      </c>
      <c r="B165" s="556" t="s">
        <v>538</v>
      </c>
      <c r="C165" s="389"/>
      <c r="D165" s="389" t="s">
        <v>316</v>
      </c>
      <c r="E165" s="356">
        <f t="shared" ref="E165:K165" si="51">E166+E167</f>
        <v>3010.93</v>
      </c>
      <c r="F165" s="1291">
        <f t="shared" si="51"/>
        <v>0</v>
      </c>
      <c r="G165" s="356">
        <f t="shared" si="51"/>
        <v>0</v>
      </c>
      <c r="H165" s="1291">
        <f t="shared" si="51"/>
        <v>0</v>
      </c>
      <c r="I165" s="356">
        <f t="shared" si="51"/>
        <v>3010.93</v>
      </c>
      <c r="J165" s="1291">
        <f t="shared" si="51"/>
        <v>0</v>
      </c>
      <c r="K165" s="356">
        <f t="shared" si="51"/>
        <v>0</v>
      </c>
      <c r="L165" s="531" t="s">
        <v>482</v>
      </c>
      <c r="M165" s="491">
        <v>0</v>
      </c>
      <c r="N165" s="491">
        <v>0</v>
      </c>
      <c r="O165" s="491">
        <v>0</v>
      </c>
      <c r="P165" s="491">
        <v>100</v>
      </c>
      <c r="Q165" s="491">
        <v>0</v>
      </c>
      <c r="R165" s="491">
        <v>0</v>
      </c>
      <c r="S165" s="528" t="s">
        <v>146</v>
      </c>
      <c r="T165" s="334"/>
      <c r="U165" s="334"/>
    </row>
    <row r="166" spans="1:21" ht="15" customHeight="1" x14ac:dyDescent="0.2">
      <c r="A166" s="1292"/>
      <c r="B166" s="980"/>
      <c r="C166" s="389"/>
      <c r="D166" s="389" t="s">
        <v>5</v>
      </c>
      <c r="E166" s="1239">
        <f>F166+G166+H166+I166+J166+K166</f>
        <v>30.110000000000003</v>
      </c>
      <c r="F166" s="1293">
        <v>0</v>
      </c>
      <c r="G166" s="1239">
        <v>0</v>
      </c>
      <c r="H166" s="1293">
        <v>0</v>
      </c>
      <c r="I166" s="1239">
        <f>56.81-26.7</f>
        <v>30.110000000000003</v>
      </c>
      <c r="J166" s="1293">
        <v>0</v>
      </c>
      <c r="K166" s="1239">
        <v>0</v>
      </c>
      <c r="L166" s="532"/>
      <c r="M166" s="492"/>
      <c r="N166" s="492"/>
      <c r="O166" s="492"/>
      <c r="P166" s="492"/>
      <c r="Q166" s="492"/>
      <c r="R166" s="492"/>
      <c r="S166" s="529"/>
      <c r="T166" s="334"/>
      <c r="U166" s="334"/>
    </row>
    <row r="167" spans="1:21" ht="24.75" customHeight="1" x14ac:dyDescent="0.2">
      <c r="A167" s="952"/>
      <c r="B167" s="991"/>
      <c r="C167" s="389"/>
      <c r="D167" s="389" t="s">
        <v>6</v>
      </c>
      <c r="E167" s="1240">
        <f>F167+G167+H167+I167+J167+K167</f>
        <v>2980.8199999999997</v>
      </c>
      <c r="F167" s="1294">
        <v>0</v>
      </c>
      <c r="G167" s="1240">
        <v>0</v>
      </c>
      <c r="H167" s="1294">
        <v>0</v>
      </c>
      <c r="I167" s="1240">
        <f>5624.19-2643.37</f>
        <v>2980.8199999999997</v>
      </c>
      <c r="J167" s="1294">
        <v>0</v>
      </c>
      <c r="K167" s="1240">
        <v>0</v>
      </c>
      <c r="L167" s="533"/>
      <c r="M167" s="493"/>
      <c r="N167" s="493"/>
      <c r="O167" s="493"/>
      <c r="P167" s="493"/>
      <c r="Q167" s="493"/>
      <c r="R167" s="493"/>
      <c r="S167" s="530"/>
      <c r="T167" s="334"/>
      <c r="U167" s="334"/>
    </row>
    <row r="168" spans="1:21" ht="22.5" customHeight="1" x14ac:dyDescent="0.2">
      <c r="A168" s="1290" t="s">
        <v>537</v>
      </c>
      <c r="B168" s="556" t="s">
        <v>539</v>
      </c>
      <c r="C168" s="389"/>
      <c r="D168" s="389" t="s">
        <v>316</v>
      </c>
      <c r="E168" s="356">
        <f t="shared" ref="E168:K168" si="52">E169+E170</f>
        <v>600</v>
      </c>
      <c r="F168" s="1291">
        <f t="shared" si="52"/>
        <v>0</v>
      </c>
      <c r="G168" s="356">
        <f t="shared" si="52"/>
        <v>0</v>
      </c>
      <c r="H168" s="1291">
        <f t="shared" si="52"/>
        <v>0</v>
      </c>
      <c r="I168" s="356">
        <f t="shared" si="52"/>
        <v>600</v>
      </c>
      <c r="J168" s="1291">
        <f t="shared" si="52"/>
        <v>0</v>
      </c>
      <c r="K168" s="356">
        <f t="shared" si="52"/>
        <v>0</v>
      </c>
      <c r="L168" s="531" t="s">
        <v>482</v>
      </c>
      <c r="M168" s="491">
        <v>0</v>
      </c>
      <c r="N168" s="491">
        <v>0</v>
      </c>
      <c r="O168" s="491">
        <v>0</v>
      </c>
      <c r="P168" s="491">
        <v>100</v>
      </c>
      <c r="Q168" s="491">
        <v>0</v>
      </c>
      <c r="R168" s="491">
        <v>0</v>
      </c>
      <c r="S168" s="528" t="s">
        <v>146</v>
      </c>
      <c r="T168" s="334"/>
      <c r="U168" s="334"/>
    </row>
    <row r="169" spans="1:21" ht="15" customHeight="1" x14ac:dyDescent="0.2">
      <c r="A169" s="1292"/>
      <c r="B169" s="980"/>
      <c r="C169" s="389"/>
      <c r="D169" s="389" t="s">
        <v>5</v>
      </c>
      <c r="E169" s="1239">
        <f>F169+G169+H169+I169+J169+K169</f>
        <v>600</v>
      </c>
      <c r="F169" s="1293">
        <v>0</v>
      </c>
      <c r="G169" s="1239">
        <v>0</v>
      </c>
      <c r="H169" s="1293">
        <v>0</v>
      </c>
      <c r="I169" s="1239">
        <v>600</v>
      </c>
      <c r="J169" s="1293">
        <v>0</v>
      </c>
      <c r="K169" s="1239">
        <v>0</v>
      </c>
      <c r="L169" s="532"/>
      <c r="M169" s="492"/>
      <c r="N169" s="492"/>
      <c r="O169" s="492"/>
      <c r="P169" s="492"/>
      <c r="Q169" s="492"/>
      <c r="R169" s="492"/>
      <c r="S169" s="529"/>
      <c r="T169" s="334"/>
      <c r="U169" s="334"/>
    </row>
    <row r="170" spans="1:21" ht="20.25" customHeight="1" x14ac:dyDescent="0.2">
      <c r="A170" s="952"/>
      <c r="B170" s="991"/>
      <c r="C170" s="389"/>
      <c r="D170" s="389" t="s">
        <v>6</v>
      </c>
      <c r="E170" s="1240">
        <f>F170+G170+H170+I170+J170+K170</f>
        <v>0</v>
      </c>
      <c r="F170" s="1294">
        <v>0</v>
      </c>
      <c r="G170" s="1240">
        <v>0</v>
      </c>
      <c r="H170" s="1294">
        <v>0</v>
      </c>
      <c r="I170" s="1240">
        <v>0</v>
      </c>
      <c r="J170" s="1294">
        <v>0</v>
      </c>
      <c r="K170" s="1240">
        <v>0</v>
      </c>
      <c r="L170" s="533"/>
      <c r="M170" s="493"/>
      <c r="N170" s="493"/>
      <c r="O170" s="493"/>
      <c r="P170" s="493"/>
      <c r="Q170" s="493"/>
      <c r="R170" s="493"/>
      <c r="S170" s="530"/>
      <c r="T170" s="334"/>
      <c r="U170" s="334"/>
    </row>
    <row r="171" spans="1:21" ht="18" customHeight="1" x14ac:dyDescent="0.2">
      <c r="A171" s="1235" t="s">
        <v>38</v>
      </c>
      <c r="B171" s="1250" t="s">
        <v>534</v>
      </c>
      <c r="C171" s="1250"/>
      <c r="D171" s="1250"/>
      <c r="E171" s="1250"/>
      <c r="F171" s="1250"/>
      <c r="G171" s="1250"/>
      <c r="H171" s="1250"/>
      <c r="I171" s="1250"/>
      <c r="J171" s="1250"/>
      <c r="K171" s="1250"/>
      <c r="L171" s="1250"/>
      <c r="M171" s="1250"/>
      <c r="N171" s="1250"/>
      <c r="O171" s="1250"/>
      <c r="P171" s="1250"/>
      <c r="Q171" s="1250"/>
      <c r="R171" s="1250"/>
      <c r="S171" s="1250"/>
      <c r="T171" s="334"/>
      <c r="U171" s="334"/>
    </row>
    <row r="172" spans="1:21" ht="21.75" customHeight="1" x14ac:dyDescent="0.2">
      <c r="A172" s="411" t="s">
        <v>39</v>
      </c>
      <c r="B172" s="1169" t="s">
        <v>396</v>
      </c>
      <c r="C172" s="553" t="s">
        <v>359</v>
      </c>
      <c r="D172" s="1220" t="s">
        <v>316</v>
      </c>
      <c r="E172" s="356">
        <f t="shared" ref="E172:G172" si="53">E173+E174</f>
        <v>6764.5499999999993</v>
      </c>
      <c r="F172" s="356">
        <f t="shared" si="53"/>
        <v>1470.5100000000002</v>
      </c>
      <c r="G172" s="356">
        <f t="shared" si="53"/>
        <v>0</v>
      </c>
      <c r="H172" s="356">
        <f t="shared" ref="H172" si="54">H173+H174</f>
        <v>265.79000000000002</v>
      </c>
      <c r="I172" s="356">
        <f t="shared" ref="I172:K172" si="55">I173+I174</f>
        <v>5028.25</v>
      </c>
      <c r="J172" s="356">
        <f t="shared" si="55"/>
        <v>0</v>
      </c>
      <c r="K172" s="356">
        <f t="shared" si="55"/>
        <v>0</v>
      </c>
      <c r="L172" s="1172"/>
      <c r="M172" s="1173"/>
      <c r="N172" s="1173"/>
      <c r="O172" s="1173"/>
      <c r="P172" s="1173"/>
      <c r="Q172" s="1173"/>
      <c r="R172" s="1173"/>
      <c r="S172" s="1174"/>
      <c r="T172" s="350"/>
      <c r="U172" s="334"/>
    </row>
    <row r="173" spans="1:21" ht="26.25" customHeight="1" x14ac:dyDescent="0.2">
      <c r="A173" s="412"/>
      <c r="B173" s="1175"/>
      <c r="C173" s="554"/>
      <c r="D173" s="1068" t="s">
        <v>5</v>
      </c>
      <c r="E173" s="1050">
        <f t="shared" ref="E173:G173" si="56">E176+E188+E191+E200+E206+E209+E212+E203</f>
        <v>4055.4299999999994</v>
      </c>
      <c r="F173" s="1050">
        <f t="shared" si="56"/>
        <v>1470.5100000000002</v>
      </c>
      <c r="G173" s="1050">
        <f t="shared" si="56"/>
        <v>0</v>
      </c>
      <c r="H173" s="1050">
        <f>H176+H188+H191+H200+H206+H209+H212+H203</f>
        <v>265.79000000000002</v>
      </c>
      <c r="I173" s="1050">
        <f>I176+I188+I191+I200+I206+I209+I212+I203</f>
        <v>2319.1299999999997</v>
      </c>
      <c r="J173" s="1050">
        <f t="shared" ref="J173:K173" si="57">J176+J188+J191+J200+J206+J209</f>
        <v>0</v>
      </c>
      <c r="K173" s="1050">
        <f t="shared" si="57"/>
        <v>0</v>
      </c>
      <c r="L173" s="1176"/>
      <c r="M173" s="1177"/>
      <c r="N173" s="1177"/>
      <c r="O173" s="1177"/>
      <c r="P173" s="1177"/>
      <c r="Q173" s="1177"/>
      <c r="R173" s="1177"/>
      <c r="S173" s="1178"/>
      <c r="T173" s="351"/>
      <c r="U173" s="334"/>
    </row>
    <row r="174" spans="1:21" ht="23.25" customHeight="1" x14ac:dyDescent="0.2">
      <c r="A174" s="413"/>
      <c r="B174" s="1212"/>
      <c r="C174" s="554"/>
      <c r="D174" s="1068" t="s">
        <v>6</v>
      </c>
      <c r="E174" s="1297">
        <f t="shared" ref="E174:G174" si="58">E177+E189+E192+E201+E204+E207+E210+E213</f>
        <v>2709.12</v>
      </c>
      <c r="F174" s="1297">
        <f t="shared" si="58"/>
        <v>0</v>
      </c>
      <c r="G174" s="1297">
        <f t="shared" si="58"/>
        <v>0</v>
      </c>
      <c r="H174" s="1297">
        <f>H177+H189+H192+H201+H204+H207+H210+H213</f>
        <v>0</v>
      </c>
      <c r="I174" s="1297">
        <f>I177+I189+I192+I201+I204+I207+I210+I213</f>
        <v>2709.12</v>
      </c>
      <c r="J174" s="1297">
        <f t="shared" ref="J174:K174" si="59">J177+J189+J192+J201+J204+J207+J210</f>
        <v>0</v>
      </c>
      <c r="K174" s="1297">
        <f t="shared" si="59"/>
        <v>0</v>
      </c>
      <c r="L174" s="1298"/>
      <c r="M174" s="1299"/>
      <c r="N174" s="1299"/>
      <c r="O174" s="1299"/>
      <c r="P174" s="1299"/>
      <c r="Q174" s="1299"/>
      <c r="R174" s="1299"/>
      <c r="S174" s="1300"/>
      <c r="T174" s="334"/>
      <c r="U174" s="334"/>
    </row>
    <row r="175" spans="1:21" ht="12.75" customHeight="1" x14ac:dyDescent="0.2">
      <c r="A175" s="553" t="s">
        <v>397</v>
      </c>
      <c r="B175" s="1169" t="s">
        <v>398</v>
      </c>
      <c r="C175" s="554"/>
      <c r="D175" s="1220" t="s">
        <v>316</v>
      </c>
      <c r="E175" s="1251">
        <f>F175+G175+H175+I175+J175+K175</f>
        <v>723.91000000000008</v>
      </c>
      <c r="F175" s="356">
        <f t="shared" ref="F175:K175" si="60">F176+F177</f>
        <v>723.91000000000008</v>
      </c>
      <c r="G175" s="356">
        <f t="shared" si="60"/>
        <v>0</v>
      </c>
      <c r="H175" s="356">
        <f t="shared" si="60"/>
        <v>0</v>
      </c>
      <c r="I175" s="356">
        <f t="shared" si="60"/>
        <v>0</v>
      </c>
      <c r="J175" s="356">
        <f t="shared" si="60"/>
        <v>0</v>
      </c>
      <c r="K175" s="356">
        <f t="shared" si="60"/>
        <v>0</v>
      </c>
      <c r="L175" s="1172"/>
      <c r="M175" s="1173"/>
      <c r="N175" s="1173"/>
      <c r="O175" s="1173"/>
      <c r="P175" s="1173"/>
      <c r="Q175" s="1173"/>
      <c r="R175" s="1173"/>
      <c r="S175" s="1174"/>
      <c r="T175" s="334"/>
      <c r="U175" s="334"/>
    </row>
    <row r="176" spans="1:21" ht="12.75" customHeight="1" x14ac:dyDescent="0.2">
      <c r="A176" s="554"/>
      <c r="B176" s="1175"/>
      <c r="C176" s="554"/>
      <c r="D176" s="1068" t="s">
        <v>5</v>
      </c>
      <c r="E176" s="1239">
        <f>F176+G176+H176+I176+J176+K176</f>
        <v>723.91000000000008</v>
      </c>
      <c r="F176" s="354">
        <f>F179+F182+F185</f>
        <v>723.91000000000008</v>
      </c>
      <c r="G176" s="354">
        <f t="shared" ref="F176:K177" si="61">G179+G182+G185</f>
        <v>0</v>
      </c>
      <c r="H176" s="354">
        <f t="shared" si="61"/>
        <v>0</v>
      </c>
      <c r="I176" s="354">
        <f t="shared" si="61"/>
        <v>0</v>
      </c>
      <c r="J176" s="354">
        <f t="shared" si="61"/>
        <v>0</v>
      </c>
      <c r="K176" s="354">
        <f t="shared" si="61"/>
        <v>0</v>
      </c>
      <c r="L176" s="1176"/>
      <c r="M176" s="1177"/>
      <c r="N176" s="1177"/>
      <c r="O176" s="1177"/>
      <c r="P176" s="1177"/>
      <c r="Q176" s="1177"/>
      <c r="R176" s="1177"/>
      <c r="S176" s="1178"/>
      <c r="T176" s="334"/>
      <c r="U176" s="334"/>
    </row>
    <row r="177" spans="1:21" ht="12.75" customHeight="1" x14ac:dyDescent="0.2">
      <c r="A177" s="554"/>
      <c r="B177" s="1175"/>
      <c r="C177" s="554"/>
      <c r="D177" s="1068" t="s">
        <v>6</v>
      </c>
      <c r="E177" s="1240">
        <f>F177+G177+H177+I177+J177+K177</f>
        <v>0</v>
      </c>
      <c r="F177" s="355">
        <f t="shared" si="61"/>
        <v>0</v>
      </c>
      <c r="G177" s="355">
        <f t="shared" si="61"/>
        <v>0</v>
      </c>
      <c r="H177" s="355">
        <f t="shared" si="61"/>
        <v>0</v>
      </c>
      <c r="I177" s="355">
        <f t="shared" si="61"/>
        <v>0</v>
      </c>
      <c r="J177" s="355">
        <f t="shared" si="61"/>
        <v>0</v>
      </c>
      <c r="K177" s="355">
        <f t="shared" si="61"/>
        <v>0</v>
      </c>
      <c r="L177" s="1298"/>
      <c r="M177" s="1299"/>
      <c r="N177" s="1299"/>
      <c r="O177" s="1299"/>
      <c r="P177" s="1299"/>
      <c r="Q177" s="1299"/>
      <c r="R177" s="1299"/>
      <c r="S177" s="1300"/>
      <c r="T177" s="334"/>
      <c r="U177" s="334"/>
    </row>
    <row r="178" spans="1:21" ht="14.25" customHeight="1" x14ac:dyDescent="0.2">
      <c r="A178" s="554"/>
      <c r="B178" s="1175"/>
      <c r="C178" s="554"/>
      <c r="D178" s="1220"/>
      <c r="E178" s="1251">
        <f>E179+E180</f>
        <v>319</v>
      </c>
      <c r="F178" s="356">
        <f t="shared" ref="F178:K178" si="62">F179+F180</f>
        <v>319</v>
      </c>
      <c r="G178" s="356">
        <f t="shared" si="62"/>
        <v>0</v>
      </c>
      <c r="H178" s="356">
        <f t="shared" si="62"/>
        <v>0</v>
      </c>
      <c r="I178" s="356">
        <f t="shared" si="62"/>
        <v>0</v>
      </c>
      <c r="J178" s="356">
        <f t="shared" si="62"/>
        <v>0</v>
      </c>
      <c r="K178" s="356">
        <f t="shared" si="62"/>
        <v>0</v>
      </c>
      <c r="L178" s="1301" t="s">
        <v>401</v>
      </c>
      <c r="M178" s="1209">
        <v>100</v>
      </c>
      <c r="N178" s="1209">
        <v>100</v>
      </c>
      <c r="O178" s="1209">
        <v>0</v>
      </c>
      <c r="P178" s="1209">
        <v>0</v>
      </c>
      <c r="Q178" s="1209">
        <v>0</v>
      </c>
      <c r="R178" s="1209">
        <v>0</v>
      </c>
      <c r="S178" s="553" t="s">
        <v>447</v>
      </c>
      <c r="T178" s="334"/>
      <c r="U178" s="334"/>
    </row>
    <row r="179" spans="1:21" ht="12" customHeight="1" x14ac:dyDescent="0.2">
      <c r="A179" s="554"/>
      <c r="B179" s="1175"/>
      <c r="C179" s="554"/>
      <c r="D179" s="1068" t="s">
        <v>5</v>
      </c>
      <c r="E179" s="1239">
        <f>F179+G179+H179+I179+J179+K179</f>
        <v>319</v>
      </c>
      <c r="F179" s="354">
        <f>319</f>
        <v>319</v>
      </c>
      <c r="G179" s="354">
        <v>0</v>
      </c>
      <c r="H179" s="354">
        <v>0</v>
      </c>
      <c r="I179" s="354">
        <v>0</v>
      </c>
      <c r="J179" s="354">
        <v>0</v>
      </c>
      <c r="K179" s="354">
        <v>0</v>
      </c>
      <c r="L179" s="1301"/>
      <c r="M179" s="1211"/>
      <c r="N179" s="1211"/>
      <c r="O179" s="1211"/>
      <c r="P179" s="1211"/>
      <c r="Q179" s="1211"/>
      <c r="R179" s="1211"/>
      <c r="S179" s="1223"/>
      <c r="T179" s="334"/>
      <c r="U179" s="334"/>
    </row>
    <row r="180" spans="1:21" ht="12" customHeight="1" x14ac:dyDescent="0.2">
      <c r="A180" s="554"/>
      <c r="B180" s="1175"/>
      <c r="C180" s="554"/>
      <c r="D180" s="1068" t="s">
        <v>6</v>
      </c>
      <c r="E180" s="1239">
        <f>F180+G180+H180+I180+J180+K180</f>
        <v>0</v>
      </c>
      <c r="F180" s="355">
        <v>0</v>
      </c>
      <c r="G180" s="355">
        <v>0</v>
      </c>
      <c r="H180" s="355">
        <v>0</v>
      </c>
      <c r="I180" s="355">
        <v>0</v>
      </c>
      <c r="J180" s="355">
        <v>0</v>
      </c>
      <c r="K180" s="355">
        <v>0</v>
      </c>
      <c r="L180" s="1301"/>
      <c r="M180" s="1211"/>
      <c r="N180" s="1211"/>
      <c r="O180" s="1211"/>
      <c r="P180" s="1211"/>
      <c r="Q180" s="1211"/>
      <c r="R180" s="1211"/>
      <c r="S180" s="1230"/>
      <c r="T180" s="334"/>
      <c r="U180" s="334"/>
    </row>
    <row r="181" spans="1:21" ht="13.5" customHeight="1" x14ac:dyDescent="0.2">
      <c r="A181" s="554"/>
      <c r="B181" s="1175"/>
      <c r="C181" s="554"/>
      <c r="D181" s="1220"/>
      <c r="E181" s="356">
        <f t="shared" ref="E181:K181" si="63">E182+E183</f>
        <v>207.1</v>
      </c>
      <c r="F181" s="356">
        <f t="shared" si="63"/>
        <v>207.1</v>
      </c>
      <c r="G181" s="356">
        <f t="shared" si="63"/>
        <v>0</v>
      </c>
      <c r="H181" s="356">
        <f t="shared" si="63"/>
        <v>0</v>
      </c>
      <c r="I181" s="356">
        <f t="shared" si="63"/>
        <v>0</v>
      </c>
      <c r="J181" s="356">
        <f t="shared" si="63"/>
        <v>0</v>
      </c>
      <c r="K181" s="356">
        <f t="shared" si="63"/>
        <v>0</v>
      </c>
      <c r="L181" s="1301"/>
      <c r="M181" s="1209">
        <v>100</v>
      </c>
      <c r="N181" s="1209">
        <v>0</v>
      </c>
      <c r="O181" s="1209">
        <v>0</v>
      </c>
      <c r="P181" s="1209">
        <v>0</v>
      </c>
      <c r="Q181" s="1209">
        <v>0</v>
      </c>
      <c r="R181" s="1209">
        <v>0</v>
      </c>
      <c r="S181" s="553" t="s">
        <v>484</v>
      </c>
      <c r="T181" s="334"/>
      <c r="U181" s="334"/>
    </row>
    <row r="182" spans="1:21" ht="12" customHeight="1" x14ac:dyDescent="0.2">
      <c r="A182" s="554"/>
      <c r="B182" s="1175"/>
      <c r="C182" s="554"/>
      <c r="D182" s="1068" t="s">
        <v>5</v>
      </c>
      <c r="E182" s="1239">
        <f>F182+G182+H182+I182+J182+K182</f>
        <v>207.1</v>
      </c>
      <c r="F182" s="354">
        <f>208.62-1.52</f>
        <v>207.1</v>
      </c>
      <c r="G182" s="354">
        <v>0</v>
      </c>
      <c r="H182" s="354">
        <v>0</v>
      </c>
      <c r="I182" s="354">
        <v>0</v>
      </c>
      <c r="J182" s="354">
        <v>0</v>
      </c>
      <c r="K182" s="354">
        <v>0</v>
      </c>
      <c r="L182" s="1301"/>
      <c r="M182" s="1211"/>
      <c r="N182" s="1211"/>
      <c r="O182" s="1211"/>
      <c r="P182" s="1211"/>
      <c r="Q182" s="1211"/>
      <c r="R182" s="1211"/>
      <c r="S182" s="1223"/>
      <c r="T182" s="334"/>
      <c r="U182" s="334"/>
    </row>
    <row r="183" spans="1:21" ht="12" customHeight="1" x14ac:dyDescent="0.2">
      <c r="A183" s="554"/>
      <c r="B183" s="1175"/>
      <c r="C183" s="554"/>
      <c r="D183" s="1068" t="s">
        <v>6</v>
      </c>
      <c r="E183" s="1239">
        <f>F183+G183+H183+I183+J183+K183</f>
        <v>0</v>
      </c>
      <c r="F183" s="355">
        <v>0</v>
      </c>
      <c r="G183" s="355">
        <v>0</v>
      </c>
      <c r="H183" s="355">
        <v>0</v>
      </c>
      <c r="I183" s="355">
        <v>0</v>
      </c>
      <c r="J183" s="355">
        <v>0</v>
      </c>
      <c r="K183" s="355">
        <v>0</v>
      </c>
      <c r="L183" s="1301"/>
      <c r="M183" s="1211"/>
      <c r="N183" s="1211"/>
      <c r="O183" s="1211"/>
      <c r="P183" s="1211"/>
      <c r="Q183" s="1211"/>
      <c r="R183" s="1211"/>
      <c r="S183" s="1230"/>
      <c r="T183" s="334"/>
      <c r="U183" s="334"/>
    </row>
    <row r="184" spans="1:21" ht="12" customHeight="1" x14ac:dyDescent="0.2">
      <c r="A184" s="554"/>
      <c r="B184" s="1175"/>
      <c r="C184" s="554"/>
      <c r="D184" s="1220"/>
      <c r="E184" s="356">
        <f t="shared" ref="E184:K184" si="64">E185+E186</f>
        <v>197.81</v>
      </c>
      <c r="F184" s="356">
        <f t="shared" si="64"/>
        <v>197.81</v>
      </c>
      <c r="G184" s="356">
        <f t="shared" si="64"/>
        <v>0</v>
      </c>
      <c r="H184" s="356">
        <f t="shared" si="64"/>
        <v>0</v>
      </c>
      <c r="I184" s="356">
        <f t="shared" si="64"/>
        <v>0</v>
      </c>
      <c r="J184" s="356">
        <f t="shared" si="64"/>
        <v>0</v>
      </c>
      <c r="K184" s="356">
        <f t="shared" si="64"/>
        <v>0</v>
      </c>
      <c r="L184" s="1301"/>
      <c r="M184" s="1209">
        <v>100</v>
      </c>
      <c r="N184" s="1209">
        <v>0</v>
      </c>
      <c r="O184" s="1209">
        <v>0</v>
      </c>
      <c r="P184" s="1209">
        <v>0</v>
      </c>
      <c r="Q184" s="1209">
        <v>0</v>
      </c>
      <c r="R184" s="1209">
        <v>0</v>
      </c>
      <c r="S184" s="553" t="s">
        <v>486</v>
      </c>
      <c r="T184" s="334"/>
      <c r="U184" s="334"/>
    </row>
    <row r="185" spans="1:21" ht="12" customHeight="1" x14ac:dyDescent="0.2">
      <c r="A185" s="554"/>
      <c r="B185" s="1175"/>
      <c r="C185" s="554"/>
      <c r="D185" s="1068" t="s">
        <v>5</v>
      </c>
      <c r="E185" s="1239">
        <f>F185+G185+H185+I185+J185+K185</f>
        <v>197.81</v>
      </c>
      <c r="F185" s="354">
        <f>222-24.19</f>
        <v>197.81</v>
      </c>
      <c r="G185" s="354">
        <v>0</v>
      </c>
      <c r="H185" s="354">
        <v>0</v>
      </c>
      <c r="I185" s="354">
        <v>0</v>
      </c>
      <c r="J185" s="354">
        <v>0</v>
      </c>
      <c r="K185" s="354">
        <v>0</v>
      </c>
      <c r="L185" s="1301"/>
      <c r="M185" s="1211"/>
      <c r="N185" s="1211"/>
      <c r="O185" s="1211"/>
      <c r="P185" s="1211"/>
      <c r="Q185" s="1211"/>
      <c r="R185" s="1211"/>
      <c r="S185" s="1223"/>
      <c r="T185" s="334"/>
      <c r="U185" s="334"/>
    </row>
    <row r="186" spans="1:21" ht="12" customHeight="1" x14ac:dyDescent="0.2">
      <c r="A186" s="555"/>
      <c r="B186" s="1212"/>
      <c r="C186" s="554"/>
      <c r="D186" s="1068" t="s">
        <v>6</v>
      </c>
      <c r="E186" s="1239">
        <f>F186+G186+H186+I186+J186+K186</f>
        <v>0</v>
      </c>
      <c r="F186" s="355">
        <v>0</v>
      </c>
      <c r="G186" s="355">
        <v>0</v>
      </c>
      <c r="H186" s="355">
        <v>0</v>
      </c>
      <c r="I186" s="355">
        <v>0</v>
      </c>
      <c r="J186" s="355">
        <v>0</v>
      </c>
      <c r="K186" s="355">
        <v>0</v>
      </c>
      <c r="L186" s="1301"/>
      <c r="M186" s="1211"/>
      <c r="N186" s="1211"/>
      <c r="O186" s="1211"/>
      <c r="P186" s="1211"/>
      <c r="Q186" s="1211"/>
      <c r="R186" s="1211"/>
      <c r="S186" s="1230"/>
      <c r="T186" s="334"/>
      <c r="U186" s="334"/>
    </row>
    <row r="187" spans="1:21" ht="21" customHeight="1" x14ac:dyDescent="0.2">
      <c r="A187" s="553" t="s">
        <v>403</v>
      </c>
      <c r="B187" s="1169" t="s">
        <v>487</v>
      </c>
      <c r="C187" s="554"/>
      <c r="D187" s="1220"/>
      <c r="E187" s="356">
        <f t="shared" ref="E187:K187" si="65">E188+E189</f>
        <v>500.6</v>
      </c>
      <c r="F187" s="356">
        <f t="shared" si="65"/>
        <v>500.6</v>
      </c>
      <c r="G187" s="356">
        <f t="shared" si="65"/>
        <v>0</v>
      </c>
      <c r="H187" s="356">
        <f t="shared" si="65"/>
        <v>0</v>
      </c>
      <c r="I187" s="356">
        <f t="shared" si="65"/>
        <v>0</v>
      </c>
      <c r="J187" s="356">
        <f t="shared" si="65"/>
        <v>0</v>
      </c>
      <c r="K187" s="356">
        <f t="shared" si="65"/>
        <v>0</v>
      </c>
      <c r="L187" s="1301" t="s">
        <v>401</v>
      </c>
      <c r="M187" s="1209">
        <v>100</v>
      </c>
      <c r="N187" s="1209">
        <v>0</v>
      </c>
      <c r="O187" s="1209">
        <v>0</v>
      </c>
      <c r="P187" s="1209">
        <v>0</v>
      </c>
      <c r="Q187" s="1209">
        <v>0</v>
      </c>
      <c r="R187" s="1209">
        <v>0</v>
      </c>
      <c r="S187" s="553" t="s">
        <v>447</v>
      </c>
      <c r="T187" s="334"/>
      <c r="U187" s="334"/>
    </row>
    <row r="188" spans="1:21" ht="12" customHeight="1" x14ac:dyDescent="0.2">
      <c r="A188" s="554"/>
      <c r="B188" s="1175"/>
      <c r="C188" s="554"/>
      <c r="D188" s="1068" t="s">
        <v>5</v>
      </c>
      <c r="E188" s="1239">
        <f>F188+G188+H188+I188+J188+K188</f>
        <v>500.6</v>
      </c>
      <c r="F188" s="354">
        <v>500.6</v>
      </c>
      <c r="G188" s="354">
        <v>0</v>
      </c>
      <c r="H188" s="354">
        <v>0</v>
      </c>
      <c r="I188" s="354">
        <v>0</v>
      </c>
      <c r="J188" s="354">
        <v>0</v>
      </c>
      <c r="K188" s="354">
        <v>0</v>
      </c>
      <c r="L188" s="1301"/>
      <c r="M188" s="1211"/>
      <c r="N188" s="1211"/>
      <c r="O188" s="1211"/>
      <c r="P188" s="1211"/>
      <c r="Q188" s="1211"/>
      <c r="R188" s="1211"/>
      <c r="S188" s="1223"/>
      <c r="T188" s="334"/>
      <c r="U188" s="334"/>
    </row>
    <row r="189" spans="1:21" ht="15.75" customHeight="1" x14ac:dyDescent="0.2">
      <c r="A189" s="555"/>
      <c r="B189" s="1212"/>
      <c r="C189" s="554"/>
      <c r="D189" s="1068" t="s">
        <v>6</v>
      </c>
      <c r="E189" s="1240">
        <f>F189+G189+H189+I189+J189+K189</f>
        <v>0</v>
      </c>
      <c r="F189" s="355">
        <v>0</v>
      </c>
      <c r="G189" s="355">
        <v>0</v>
      </c>
      <c r="H189" s="355">
        <v>0</v>
      </c>
      <c r="I189" s="355">
        <v>0</v>
      </c>
      <c r="J189" s="355">
        <v>0</v>
      </c>
      <c r="K189" s="355">
        <v>0</v>
      </c>
      <c r="L189" s="1301"/>
      <c r="M189" s="1211"/>
      <c r="N189" s="1211"/>
      <c r="O189" s="1211"/>
      <c r="P189" s="1211"/>
      <c r="Q189" s="1211"/>
      <c r="R189" s="1211"/>
      <c r="S189" s="1230"/>
      <c r="T189" s="334"/>
      <c r="U189" s="334"/>
    </row>
    <row r="190" spans="1:21" ht="19.5" customHeight="1" x14ac:dyDescent="0.2">
      <c r="A190" s="553" t="s">
        <v>461</v>
      </c>
      <c r="B190" s="556" t="s">
        <v>404</v>
      </c>
      <c r="C190" s="554"/>
      <c r="D190" s="387" t="s">
        <v>316</v>
      </c>
      <c r="E190" s="1255">
        <f>F190+G190+H190+I190+J190+K190</f>
        <v>246</v>
      </c>
      <c r="F190" s="1255">
        <f t="shared" ref="F190:K190" si="66">F193+F196</f>
        <v>246</v>
      </c>
      <c r="G190" s="1255">
        <f t="shared" si="66"/>
        <v>0</v>
      </c>
      <c r="H190" s="1255">
        <f t="shared" si="66"/>
        <v>0</v>
      </c>
      <c r="I190" s="1255">
        <f t="shared" si="66"/>
        <v>0</v>
      </c>
      <c r="J190" s="1255">
        <f t="shared" si="66"/>
        <v>0</v>
      </c>
      <c r="K190" s="1255">
        <f t="shared" si="66"/>
        <v>0</v>
      </c>
      <c r="L190" s="1302"/>
      <c r="M190" s="1302"/>
      <c r="N190" s="1302"/>
      <c r="O190" s="1302"/>
      <c r="P190" s="1302"/>
      <c r="Q190" s="1302"/>
      <c r="R190" s="1302"/>
      <c r="S190" s="1302"/>
      <c r="T190" s="334"/>
      <c r="U190" s="334"/>
    </row>
    <row r="191" spans="1:21" ht="19.5" customHeight="1" x14ac:dyDescent="0.2">
      <c r="A191" s="554"/>
      <c r="B191" s="557"/>
      <c r="C191" s="554"/>
      <c r="D191" s="389" t="s">
        <v>5</v>
      </c>
      <c r="E191" s="1256">
        <f>F191+G191+H191+I191+J191+K191</f>
        <v>246</v>
      </c>
      <c r="F191" s="1303">
        <f t="shared" ref="F191:K192" si="67">F194+F197</f>
        <v>246</v>
      </c>
      <c r="G191" s="1303">
        <f t="shared" si="67"/>
        <v>0</v>
      </c>
      <c r="H191" s="1303">
        <f t="shared" si="67"/>
        <v>0</v>
      </c>
      <c r="I191" s="1303">
        <f t="shared" si="67"/>
        <v>0</v>
      </c>
      <c r="J191" s="1303">
        <f t="shared" si="67"/>
        <v>0</v>
      </c>
      <c r="K191" s="1303">
        <f t="shared" si="67"/>
        <v>0</v>
      </c>
      <c r="L191" s="1302"/>
      <c r="M191" s="1302"/>
      <c r="N191" s="1302"/>
      <c r="O191" s="1302"/>
      <c r="P191" s="1302"/>
      <c r="Q191" s="1302"/>
      <c r="R191" s="1302"/>
      <c r="S191" s="1302"/>
      <c r="T191" s="334"/>
      <c r="U191" s="334"/>
    </row>
    <row r="192" spans="1:21" ht="19.5" customHeight="1" x14ac:dyDescent="0.2">
      <c r="A192" s="554"/>
      <c r="B192" s="557"/>
      <c r="C192" s="554"/>
      <c r="D192" s="390" t="s">
        <v>6</v>
      </c>
      <c r="E192" s="1256">
        <f>F192+G192+H192+I192+J192+K192</f>
        <v>0</v>
      </c>
      <c r="F192" s="355">
        <f t="shared" si="67"/>
        <v>0</v>
      </c>
      <c r="G192" s="355">
        <f t="shared" si="67"/>
        <v>0</v>
      </c>
      <c r="H192" s="355">
        <f t="shared" si="67"/>
        <v>0</v>
      </c>
      <c r="I192" s="355">
        <f t="shared" si="67"/>
        <v>0</v>
      </c>
      <c r="J192" s="355">
        <f t="shared" si="67"/>
        <v>0</v>
      </c>
      <c r="K192" s="355">
        <f t="shared" si="67"/>
        <v>0</v>
      </c>
      <c r="L192" s="1302"/>
      <c r="M192" s="1302"/>
      <c r="N192" s="1302"/>
      <c r="O192" s="1302"/>
      <c r="P192" s="1302"/>
      <c r="Q192" s="1302"/>
      <c r="R192" s="1302"/>
      <c r="S192" s="1302"/>
      <c r="T192" s="334"/>
      <c r="U192" s="334"/>
    </row>
    <row r="193" spans="1:21" ht="13.5" customHeight="1" x14ac:dyDescent="0.2">
      <c r="A193" s="554"/>
      <c r="B193" s="557"/>
      <c r="C193" s="554"/>
      <c r="D193" s="387"/>
      <c r="E193" s="1255">
        <f>E194+E195</f>
        <v>144</v>
      </c>
      <c r="F193" s="1255">
        <f t="shared" ref="F193:K193" si="68">F194+F195</f>
        <v>144</v>
      </c>
      <c r="G193" s="1255">
        <f t="shared" si="68"/>
        <v>0</v>
      </c>
      <c r="H193" s="1255">
        <f t="shared" si="68"/>
        <v>0</v>
      </c>
      <c r="I193" s="1255">
        <f t="shared" si="68"/>
        <v>0</v>
      </c>
      <c r="J193" s="1255">
        <f t="shared" si="68"/>
        <v>0</v>
      </c>
      <c r="K193" s="1255">
        <f t="shared" si="68"/>
        <v>0</v>
      </c>
      <c r="L193" s="532" t="s">
        <v>401</v>
      </c>
      <c r="M193" s="493">
        <v>100</v>
      </c>
      <c r="N193" s="493">
        <v>0</v>
      </c>
      <c r="O193" s="493">
        <v>0</v>
      </c>
      <c r="P193" s="493">
        <v>100</v>
      </c>
      <c r="Q193" s="493">
        <v>0</v>
      </c>
      <c r="R193" s="493">
        <v>0</v>
      </c>
      <c r="S193" s="554" t="s">
        <v>484</v>
      </c>
      <c r="T193" s="334"/>
      <c r="U193" s="334"/>
    </row>
    <row r="194" spans="1:21" ht="12" customHeight="1" x14ac:dyDescent="0.2">
      <c r="A194" s="554"/>
      <c r="B194" s="557"/>
      <c r="C194" s="554"/>
      <c r="D194" s="389" t="s">
        <v>5</v>
      </c>
      <c r="E194" s="354">
        <f>F194+G194+H194+I194+J194+K194</f>
        <v>144</v>
      </c>
      <c r="F194" s="354">
        <v>144</v>
      </c>
      <c r="G194" s="354">
        <v>0</v>
      </c>
      <c r="H194" s="354">
        <v>0</v>
      </c>
      <c r="I194" s="354">
        <f>1800-1800</f>
        <v>0</v>
      </c>
      <c r="J194" s="354">
        <v>0</v>
      </c>
      <c r="K194" s="354">
        <v>0</v>
      </c>
      <c r="L194" s="532"/>
      <c r="M194" s="1032"/>
      <c r="N194" s="1032"/>
      <c r="O194" s="1032"/>
      <c r="P194" s="1032"/>
      <c r="Q194" s="1032"/>
      <c r="R194" s="1032"/>
      <c r="S194" s="1223"/>
      <c r="T194" s="334"/>
      <c r="U194" s="334"/>
    </row>
    <row r="195" spans="1:21" ht="11.25" customHeight="1" x14ac:dyDescent="0.2">
      <c r="A195" s="554"/>
      <c r="B195" s="557"/>
      <c r="C195" s="554"/>
      <c r="D195" s="390" t="s">
        <v>6</v>
      </c>
      <c r="E195" s="354">
        <f>F195+G195+H195+I195+J195+K195</f>
        <v>0</v>
      </c>
      <c r="F195" s="355">
        <v>0</v>
      </c>
      <c r="G195" s="355">
        <v>0</v>
      </c>
      <c r="H195" s="355">
        <v>0</v>
      </c>
      <c r="I195" s="355">
        <v>0</v>
      </c>
      <c r="J195" s="355">
        <v>0</v>
      </c>
      <c r="K195" s="355">
        <v>0</v>
      </c>
      <c r="L195" s="532"/>
      <c r="M195" s="1032"/>
      <c r="N195" s="1032"/>
      <c r="O195" s="1032"/>
      <c r="P195" s="1032"/>
      <c r="Q195" s="1032"/>
      <c r="R195" s="1032"/>
      <c r="S195" s="1230"/>
      <c r="T195" s="334"/>
      <c r="U195" s="334"/>
    </row>
    <row r="196" spans="1:21" ht="14.25" customHeight="1" x14ac:dyDescent="0.2">
      <c r="A196" s="554"/>
      <c r="B196" s="557"/>
      <c r="C196" s="554"/>
      <c r="D196" s="387"/>
      <c r="E196" s="1255">
        <f>F196+G196+H196+I196+J196+K196</f>
        <v>102</v>
      </c>
      <c r="F196" s="1255">
        <f t="shared" ref="F196:K196" si="69">F197+F198</f>
        <v>102</v>
      </c>
      <c r="G196" s="1255">
        <f t="shared" si="69"/>
        <v>0</v>
      </c>
      <c r="H196" s="1255">
        <f t="shared" si="69"/>
        <v>0</v>
      </c>
      <c r="I196" s="1255">
        <f t="shared" si="69"/>
        <v>0</v>
      </c>
      <c r="J196" s="1255">
        <f t="shared" si="69"/>
        <v>0</v>
      </c>
      <c r="K196" s="1255">
        <f t="shared" si="69"/>
        <v>0</v>
      </c>
      <c r="L196" s="532"/>
      <c r="M196" s="948">
        <v>100</v>
      </c>
      <c r="N196" s="948">
        <v>0</v>
      </c>
      <c r="O196" s="948">
        <v>0</v>
      </c>
      <c r="P196" s="948">
        <v>100</v>
      </c>
      <c r="Q196" s="948">
        <v>0</v>
      </c>
      <c r="R196" s="948">
        <v>0</v>
      </c>
      <c r="S196" s="553" t="s">
        <v>486</v>
      </c>
      <c r="T196" s="334"/>
      <c r="U196" s="334"/>
    </row>
    <row r="197" spans="1:21" ht="12" customHeight="1" x14ac:dyDescent="0.2">
      <c r="A197" s="554"/>
      <c r="B197" s="557"/>
      <c r="C197" s="554"/>
      <c r="D197" s="389" t="s">
        <v>5</v>
      </c>
      <c r="E197" s="354">
        <f>F197+G197+H197+I197+J197+K197</f>
        <v>102</v>
      </c>
      <c r="F197" s="354">
        <v>102</v>
      </c>
      <c r="G197" s="354">
        <v>0</v>
      </c>
      <c r="H197" s="354">
        <v>0</v>
      </c>
      <c r="I197" s="354">
        <f>1970-1970</f>
        <v>0</v>
      </c>
      <c r="J197" s="354">
        <v>0</v>
      </c>
      <c r="K197" s="354">
        <v>0</v>
      </c>
      <c r="L197" s="532"/>
      <c r="M197" s="1032"/>
      <c r="N197" s="1032"/>
      <c r="O197" s="1032"/>
      <c r="P197" s="1032"/>
      <c r="Q197" s="1032"/>
      <c r="R197" s="1032"/>
      <c r="S197" s="1223"/>
      <c r="T197" s="334"/>
      <c r="U197" s="334"/>
    </row>
    <row r="198" spans="1:21" ht="13.5" customHeight="1" x14ac:dyDescent="0.2">
      <c r="A198" s="554"/>
      <c r="B198" s="558"/>
      <c r="C198" s="554"/>
      <c r="D198" s="390" t="s">
        <v>6</v>
      </c>
      <c r="E198" s="355">
        <f>F198+G198+H198+I198+J198+K198</f>
        <v>0</v>
      </c>
      <c r="F198" s="355">
        <v>0</v>
      </c>
      <c r="G198" s="355">
        <f>G266+G284+G290</f>
        <v>0</v>
      </c>
      <c r="H198" s="355">
        <f>H266+H284+H290</f>
        <v>0</v>
      </c>
      <c r="I198" s="355">
        <f>I266+I284+I290</f>
        <v>0</v>
      </c>
      <c r="J198" s="355">
        <f>J266+J284+J290</f>
        <v>0</v>
      </c>
      <c r="K198" s="355">
        <f>K266+K284+K290</f>
        <v>0</v>
      </c>
      <c r="L198" s="533"/>
      <c r="M198" s="1032"/>
      <c r="N198" s="1032"/>
      <c r="O198" s="1032"/>
      <c r="P198" s="1032"/>
      <c r="Q198" s="1032"/>
      <c r="R198" s="1032"/>
      <c r="S198" s="1230"/>
      <c r="T198" s="334"/>
      <c r="U198" s="334"/>
    </row>
    <row r="199" spans="1:21" ht="16.5" customHeight="1" x14ac:dyDescent="0.2">
      <c r="A199" s="553" t="s">
        <v>502</v>
      </c>
      <c r="B199" s="1169" t="s">
        <v>503</v>
      </c>
      <c r="C199" s="412"/>
      <c r="D199" s="1220"/>
      <c r="E199" s="356">
        <f t="shared" ref="E199:K199" si="70">E200+E201</f>
        <v>951.31</v>
      </c>
      <c r="F199" s="356">
        <f t="shared" si="70"/>
        <v>0</v>
      </c>
      <c r="G199" s="356">
        <f t="shared" si="70"/>
        <v>0</v>
      </c>
      <c r="H199" s="356">
        <f t="shared" si="70"/>
        <v>200</v>
      </c>
      <c r="I199" s="356">
        <f t="shared" si="70"/>
        <v>751.31</v>
      </c>
      <c r="J199" s="356">
        <f t="shared" si="70"/>
        <v>0</v>
      </c>
      <c r="K199" s="356">
        <f t="shared" si="70"/>
        <v>0</v>
      </c>
      <c r="L199" s="1301" t="s">
        <v>401</v>
      </c>
      <c r="M199" s="948">
        <v>0</v>
      </c>
      <c r="N199" s="948">
        <v>0</v>
      </c>
      <c r="O199" s="948">
        <v>100</v>
      </c>
      <c r="P199" s="948">
        <v>100</v>
      </c>
      <c r="Q199" s="948">
        <v>0</v>
      </c>
      <c r="R199" s="948">
        <v>0</v>
      </c>
      <c r="S199" s="553" t="s">
        <v>459</v>
      </c>
      <c r="T199" s="334"/>
      <c r="U199" s="334"/>
    </row>
    <row r="200" spans="1:21" ht="15" customHeight="1" x14ac:dyDescent="0.2">
      <c r="A200" s="554"/>
      <c r="B200" s="1175"/>
      <c r="C200" s="412"/>
      <c r="D200" s="1068" t="s">
        <v>5</v>
      </c>
      <c r="E200" s="1239">
        <f>F200+G200+H200+I200+J200+K200</f>
        <v>951.31</v>
      </c>
      <c r="F200" s="354">
        <v>0</v>
      </c>
      <c r="G200" s="354">
        <v>0</v>
      </c>
      <c r="H200" s="354">
        <v>200</v>
      </c>
      <c r="I200" s="354">
        <f>375.31+376</f>
        <v>751.31</v>
      </c>
      <c r="J200" s="354">
        <v>0</v>
      </c>
      <c r="K200" s="354">
        <v>0</v>
      </c>
      <c r="L200" s="1301"/>
      <c r="M200" s="1032"/>
      <c r="N200" s="1032"/>
      <c r="O200" s="1032"/>
      <c r="P200" s="1032"/>
      <c r="Q200" s="1032"/>
      <c r="R200" s="1032"/>
      <c r="S200" s="1223"/>
      <c r="T200" s="334"/>
      <c r="U200" s="334"/>
    </row>
    <row r="201" spans="1:21" ht="33" customHeight="1" x14ac:dyDescent="0.2">
      <c r="A201" s="555"/>
      <c r="B201" s="1212"/>
      <c r="C201" s="412"/>
      <c r="D201" s="1068" t="s">
        <v>6</v>
      </c>
      <c r="E201" s="1240">
        <f>F201+G201+H201+I201+J201+K201</f>
        <v>0</v>
      </c>
      <c r="F201" s="355">
        <v>0</v>
      </c>
      <c r="G201" s="355">
        <v>0</v>
      </c>
      <c r="H201" s="355">
        <v>0</v>
      </c>
      <c r="I201" s="355">
        <v>0</v>
      </c>
      <c r="J201" s="355">
        <v>0</v>
      </c>
      <c r="K201" s="355">
        <v>0</v>
      </c>
      <c r="L201" s="1301"/>
      <c r="M201" s="1032"/>
      <c r="N201" s="1032"/>
      <c r="O201" s="1032"/>
      <c r="P201" s="1032"/>
      <c r="Q201" s="1032"/>
      <c r="R201" s="1032"/>
      <c r="S201" s="1230"/>
      <c r="T201" s="334"/>
      <c r="U201" s="334"/>
    </row>
    <row r="202" spans="1:21" ht="16.5" customHeight="1" x14ac:dyDescent="0.2">
      <c r="A202" s="553" t="s">
        <v>504</v>
      </c>
      <c r="B202" s="1169" t="s">
        <v>525</v>
      </c>
      <c r="C202" s="412"/>
      <c r="D202" s="1220"/>
      <c r="E202" s="356">
        <f t="shared" ref="E202:K202" si="71">E203+E204</f>
        <v>65.790000000000006</v>
      </c>
      <c r="F202" s="356">
        <f t="shared" si="71"/>
        <v>0</v>
      </c>
      <c r="G202" s="356">
        <f t="shared" si="71"/>
        <v>0</v>
      </c>
      <c r="H202" s="356">
        <f t="shared" si="71"/>
        <v>65.790000000000006</v>
      </c>
      <c r="I202" s="356">
        <f t="shared" si="71"/>
        <v>0</v>
      </c>
      <c r="J202" s="356">
        <f t="shared" si="71"/>
        <v>0</v>
      </c>
      <c r="K202" s="356">
        <f t="shared" si="71"/>
        <v>0</v>
      </c>
      <c r="L202" s="1301" t="s">
        <v>401</v>
      </c>
      <c r="M202" s="948">
        <v>0</v>
      </c>
      <c r="N202" s="948">
        <v>0</v>
      </c>
      <c r="O202" s="948">
        <v>100</v>
      </c>
      <c r="P202" s="948">
        <v>0</v>
      </c>
      <c r="Q202" s="948">
        <v>0</v>
      </c>
      <c r="R202" s="948">
        <v>0</v>
      </c>
      <c r="S202" s="553" t="s">
        <v>448</v>
      </c>
      <c r="T202" s="334"/>
      <c r="U202" s="334"/>
    </row>
    <row r="203" spans="1:21" ht="15" customHeight="1" x14ac:dyDescent="0.2">
      <c r="A203" s="554"/>
      <c r="B203" s="1175"/>
      <c r="C203" s="412"/>
      <c r="D203" s="1068" t="s">
        <v>5</v>
      </c>
      <c r="E203" s="1239">
        <f>F203+G203+H203+I203+J203+K203</f>
        <v>65.790000000000006</v>
      </c>
      <c r="F203" s="354">
        <v>0</v>
      </c>
      <c r="G203" s="354">
        <v>0</v>
      </c>
      <c r="H203" s="354">
        <v>65.790000000000006</v>
      </c>
      <c r="I203" s="354">
        <v>0</v>
      </c>
      <c r="J203" s="354">
        <v>0</v>
      </c>
      <c r="K203" s="354">
        <v>0</v>
      </c>
      <c r="L203" s="1301"/>
      <c r="M203" s="1032"/>
      <c r="N203" s="1032"/>
      <c r="O203" s="1032"/>
      <c r="P203" s="1032"/>
      <c r="Q203" s="1032"/>
      <c r="R203" s="1032"/>
      <c r="S203" s="1223"/>
      <c r="T203" s="334"/>
      <c r="U203" s="334"/>
    </row>
    <row r="204" spans="1:21" ht="16.5" customHeight="1" x14ac:dyDescent="0.2">
      <c r="A204" s="555"/>
      <c r="B204" s="1212"/>
      <c r="C204" s="412"/>
      <c r="D204" s="1068" t="s">
        <v>6</v>
      </c>
      <c r="E204" s="1240">
        <f>F204+G204+H204+I204+J204+K204</f>
        <v>0</v>
      </c>
      <c r="F204" s="355">
        <v>0</v>
      </c>
      <c r="G204" s="355">
        <v>0</v>
      </c>
      <c r="H204" s="355">
        <v>0</v>
      </c>
      <c r="I204" s="355">
        <v>0</v>
      </c>
      <c r="J204" s="355">
        <v>0</v>
      </c>
      <c r="K204" s="355">
        <v>0</v>
      </c>
      <c r="L204" s="1301"/>
      <c r="M204" s="1032"/>
      <c r="N204" s="1032"/>
      <c r="O204" s="1032"/>
      <c r="P204" s="1032"/>
      <c r="Q204" s="1032"/>
      <c r="R204" s="1032"/>
      <c r="S204" s="1230"/>
      <c r="T204" s="334"/>
      <c r="U204" s="334"/>
    </row>
    <row r="205" spans="1:21" ht="16.5" customHeight="1" x14ac:dyDescent="0.2">
      <c r="A205" s="553" t="s">
        <v>523</v>
      </c>
      <c r="B205" s="1169" t="s">
        <v>524</v>
      </c>
      <c r="C205" s="412"/>
      <c r="D205" s="1220"/>
      <c r="E205" s="356">
        <f t="shared" ref="E205:K205" si="72">E206+E207</f>
        <v>2736.49</v>
      </c>
      <c r="F205" s="356">
        <f t="shared" si="72"/>
        <v>0</v>
      </c>
      <c r="G205" s="356">
        <f t="shared" si="72"/>
        <v>0</v>
      </c>
      <c r="H205" s="356">
        <f t="shared" si="72"/>
        <v>0</v>
      </c>
      <c r="I205" s="356">
        <f t="shared" si="72"/>
        <v>2736.49</v>
      </c>
      <c r="J205" s="356">
        <f t="shared" si="72"/>
        <v>0</v>
      </c>
      <c r="K205" s="356">
        <f t="shared" si="72"/>
        <v>0</v>
      </c>
      <c r="L205" s="1301" t="s">
        <v>401</v>
      </c>
      <c r="M205" s="948">
        <v>0</v>
      </c>
      <c r="N205" s="948">
        <v>0</v>
      </c>
      <c r="O205" s="948">
        <v>0</v>
      </c>
      <c r="P205" s="948">
        <v>100</v>
      </c>
      <c r="Q205" s="948">
        <v>0</v>
      </c>
      <c r="R205" s="948">
        <v>0</v>
      </c>
      <c r="S205" s="553" t="s">
        <v>448</v>
      </c>
      <c r="T205" s="334"/>
      <c r="U205" s="334"/>
    </row>
    <row r="206" spans="1:21" ht="15" customHeight="1" x14ac:dyDescent="0.2">
      <c r="A206" s="554"/>
      <c r="B206" s="1175"/>
      <c r="C206" s="412"/>
      <c r="D206" s="1068" t="s">
        <v>5</v>
      </c>
      <c r="E206" s="1239">
        <f>F206+G206+H206+I206+J206+K206</f>
        <v>27.37</v>
      </c>
      <c r="F206" s="354">
        <v>0</v>
      </c>
      <c r="G206" s="354">
        <v>0</v>
      </c>
      <c r="H206" s="354">
        <v>0</v>
      </c>
      <c r="I206" s="354">
        <v>27.37</v>
      </c>
      <c r="J206" s="354">
        <v>0</v>
      </c>
      <c r="K206" s="354">
        <v>0</v>
      </c>
      <c r="L206" s="1301"/>
      <c r="M206" s="1032"/>
      <c r="N206" s="1032"/>
      <c r="O206" s="1032"/>
      <c r="P206" s="1032"/>
      <c r="Q206" s="1032"/>
      <c r="R206" s="1032"/>
      <c r="S206" s="1223"/>
      <c r="T206" s="334"/>
      <c r="U206" s="334"/>
    </row>
    <row r="207" spans="1:21" ht="19.5" customHeight="1" x14ac:dyDescent="0.2">
      <c r="A207" s="555"/>
      <c r="B207" s="1212"/>
      <c r="C207" s="412"/>
      <c r="D207" s="1068" t="s">
        <v>6</v>
      </c>
      <c r="E207" s="1240">
        <f>F207+G207+H207+I207+J207+K207</f>
        <v>2709.12</v>
      </c>
      <c r="F207" s="355">
        <v>0</v>
      </c>
      <c r="G207" s="355">
        <v>0</v>
      </c>
      <c r="H207" s="355">
        <v>0</v>
      </c>
      <c r="I207" s="355">
        <v>2709.12</v>
      </c>
      <c r="J207" s="355">
        <v>0</v>
      </c>
      <c r="K207" s="355">
        <v>0</v>
      </c>
      <c r="L207" s="1301"/>
      <c r="M207" s="1032"/>
      <c r="N207" s="1032"/>
      <c r="O207" s="1032"/>
      <c r="P207" s="1032"/>
      <c r="Q207" s="1032"/>
      <c r="R207" s="1032"/>
      <c r="S207" s="1230"/>
      <c r="T207" s="334"/>
      <c r="U207" s="334"/>
    </row>
    <row r="208" spans="1:21" ht="21" customHeight="1" x14ac:dyDescent="0.2">
      <c r="A208" s="553" t="s">
        <v>532</v>
      </c>
      <c r="B208" s="1169" t="s">
        <v>533</v>
      </c>
      <c r="C208" s="412"/>
      <c r="D208" s="1220"/>
      <c r="E208" s="356">
        <f t="shared" ref="E208:K208" si="73">E209+E210</f>
        <v>1449.9999999999998</v>
      </c>
      <c r="F208" s="356">
        <f t="shared" si="73"/>
        <v>0</v>
      </c>
      <c r="G208" s="356">
        <f t="shared" si="73"/>
        <v>0</v>
      </c>
      <c r="H208" s="356">
        <f t="shared" si="73"/>
        <v>0</v>
      </c>
      <c r="I208" s="356">
        <f t="shared" si="73"/>
        <v>1449.9999999999998</v>
      </c>
      <c r="J208" s="356">
        <f t="shared" si="73"/>
        <v>0</v>
      </c>
      <c r="K208" s="356">
        <f t="shared" si="73"/>
        <v>0</v>
      </c>
      <c r="L208" s="1301" t="s">
        <v>401</v>
      </c>
      <c r="M208" s="948">
        <v>0</v>
      </c>
      <c r="N208" s="948">
        <v>0</v>
      </c>
      <c r="O208" s="948">
        <v>0</v>
      </c>
      <c r="P208" s="948">
        <v>100</v>
      </c>
      <c r="Q208" s="948">
        <v>0</v>
      </c>
      <c r="R208" s="948">
        <v>0</v>
      </c>
      <c r="S208" s="553" t="s">
        <v>146</v>
      </c>
      <c r="T208" s="334"/>
      <c r="U208" s="334"/>
    </row>
    <row r="209" spans="1:21" ht="20.25" customHeight="1" x14ac:dyDescent="0.2">
      <c r="A209" s="554"/>
      <c r="B209" s="1175"/>
      <c r="C209" s="412"/>
      <c r="D209" s="1068" t="s">
        <v>5</v>
      </c>
      <c r="E209" s="1239">
        <f>F209+G209+H209+I209+J209+K209</f>
        <v>1449.9999999999998</v>
      </c>
      <c r="F209" s="354">
        <v>0</v>
      </c>
      <c r="G209" s="354">
        <v>0</v>
      </c>
      <c r="H209" s="354">
        <v>0</v>
      </c>
      <c r="I209" s="354">
        <f>3770-1328.26-991.74</f>
        <v>1449.9999999999998</v>
      </c>
      <c r="J209" s="354">
        <v>0</v>
      </c>
      <c r="K209" s="354">
        <v>0</v>
      </c>
      <c r="L209" s="1301"/>
      <c r="M209" s="1032"/>
      <c r="N209" s="1032"/>
      <c r="O209" s="1032"/>
      <c r="P209" s="1032"/>
      <c r="Q209" s="1032"/>
      <c r="R209" s="1032"/>
      <c r="S209" s="1223"/>
      <c r="T209" s="350"/>
      <c r="U209" s="334"/>
    </row>
    <row r="210" spans="1:21" ht="17.25" customHeight="1" x14ac:dyDescent="0.2">
      <c r="A210" s="555"/>
      <c r="B210" s="1212"/>
      <c r="C210" s="412"/>
      <c r="D210" s="1068" t="s">
        <v>6</v>
      </c>
      <c r="E210" s="1240">
        <f>F210+G210+H210+I210+J210+K210</f>
        <v>0</v>
      </c>
      <c r="F210" s="355">
        <v>0</v>
      </c>
      <c r="G210" s="355">
        <v>0</v>
      </c>
      <c r="H210" s="355">
        <v>0</v>
      </c>
      <c r="I210" s="355">
        <v>0</v>
      </c>
      <c r="J210" s="355">
        <v>0</v>
      </c>
      <c r="K210" s="355">
        <v>0</v>
      </c>
      <c r="L210" s="1301"/>
      <c r="M210" s="1032"/>
      <c r="N210" s="1032"/>
      <c r="O210" s="1032"/>
      <c r="P210" s="1032"/>
      <c r="Q210" s="1032"/>
      <c r="R210" s="1032"/>
      <c r="S210" s="1230"/>
      <c r="T210" s="351"/>
      <c r="U210" s="334"/>
    </row>
    <row r="211" spans="1:21" ht="21" customHeight="1" x14ac:dyDescent="0.2">
      <c r="A211" s="553" t="s">
        <v>540</v>
      </c>
      <c r="B211" s="1169" t="s">
        <v>541</v>
      </c>
      <c r="C211" s="412"/>
      <c r="D211" s="1220"/>
      <c r="E211" s="356">
        <f t="shared" ref="E211:K211" si="74">E212+E213</f>
        <v>90.449999999999989</v>
      </c>
      <c r="F211" s="356">
        <f t="shared" si="74"/>
        <v>0</v>
      </c>
      <c r="G211" s="356">
        <f t="shared" si="74"/>
        <v>0</v>
      </c>
      <c r="H211" s="356">
        <f t="shared" si="74"/>
        <v>0</v>
      </c>
      <c r="I211" s="356">
        <f t="shared" si="74"/>
        <v>90.449999999999989</v>
      </c>
      <c r="J211" s="356">
        <f t="shared" si="74"/>
        <v>0</v>
      </c>
      <c r="K211" s="356">
        <f t="shared" si="74"/>
        <v>0</v>
      </c>
      <c r="L211" s="1301"/>
      <c r="M211" s="948"/>
      <c r="N211" s="948"/>
      <c r="O211" s="948"/>
      <c r="P211" s="948"/>
      <c r="Q211" s="948"/>
      <c r="R211" s="948"/>
      <c r="S211" s="553"/>
      <c r="T211" s="334"/>
      <c r="U211" s="334"/>
    </row>
    <row r="212" spans="1:21" ht="20.25" customHeight="1" x14ac:dyDescent="0.2">
      <c r="A212" s="554"/>
      <c r="B212" s="1175"/>
      <c r="C212" s="412"/>
      <c r="D212" s="1068" t="s">
        <v>5</v>
      </c>
      <c r="E212" s="1239">
        <f>F212+G212+H212+I212+J212+K212</f>
        <v>90.449999999999989</v>
      </c>
      <c r="F212" s="354">
        <v>0</v>
      </c>
      <c r="G212" s="354">
        <v>0</v>
      </c>
      <c r="H212" s="354">
        <v>0</v>
      </c>
      <c r="I212" s="354">
        <f>I215+I218</f>
        <v>90.449999999999989</v>
      </c>
      <c r="J212" s="354">
        <v>0</v>
      </c>
      <c r="K212" s="354">
        <v>0</v>
      </c>
      <c r="L212" s="1301"/>
      <c r="M212" s="1032"/>
      <c r="N212" s="1032"/>
      <c r="O212" s="1032"/>
      <c r="P212" s="1032"/>
      <c r="Q212" s="1032"/>
      <c r="R212" s="1032"/>
      <c r="S212" s="1223"/>
      <c r="T212" s="350"/>
      <c r="U212" s="334"/>
    </row>
    <row r="213" spans="1:21" ht="17.25" customHeight="1" x14ac:dyDescent="0.2">
      <c r="A213" s="554"/>
      <c r="B213" s="1212"/>
      <c r="C213" s="412"/>
      <c r="D213" s="1068" t="s">
        <v>6</v>
      </c>
      <c r="E213" s="1240">
        <f>F213+G213+H213+I213+J213+K213</f>
        <v>0</v>
      </c>
      <c r="F213" s="355">
        <v>0</v>
      </c>
      <c r="G213" s="355">
        <v>0</v>
      </c>
      <c r="H213" s="355">
        <v>0</v>
      </c>
      <c r="I213" s="355">
        <f>I216+I219</f>
        <v>0</v>
      </c>
      <c r="J213" s="355">
        <v>0</v>
      </c>
      <c r="K213" s="355">
        <v>0</v>
      </c>
      <c r="L213" s="1301"/>
      <c r="M213" s="1032"/>
      <c r="N213" s="1032"/>
      <c r="O213" s="1032"/>
      <c r="P213" s="1032"/>
      <c r="Q213" s="1032"/>
      <c r="R213" s="1032"/>
      <c r="S213" s="1230"/>
      <c r="T213" s="351"/>
      <c r="U213" s="334"/>
    </row>
    <row r="214" spans="1:21" ht="21" customHeight="1" x14ac:dyDescent="0.2">
      <c r="A214" s="554"/>
      <c r="B214" s="1169"/>
      <c r="C214" s="412"/>
      <c r="D214" s="1220"/>
      <c r="E214" s="356">
        <f t="shared" ref="E214:K214" si="75">E215+E216</f>
        <v>50.05</v>
      </c>
      <c r="F214" s="356">
        <f t="shared" si="75"/>
        <v>0</v>
      </c>
      <c r="G214" s="356">
        <f t="shared" si="75"/>
        <v>0</v>
      </c>
      <c r="H214" s="356">
        <f t="shared" si="75"/>
        <v>0</v>
      </c>
      <c r="I214" s="356">
        <f t="shared" si="75"/>
        <v>50.05</v>
      </c>
      <c r="J214" s="356">
        <f t="shared" si="75"/>
        <v>0</v>
      </c>
      <c r="K214" s="356">
        <f t="shared" si="75"/>
        <v>0</v>
      </c>
      <c r="L214" s="1301" t="s">
        <v>401</v>
      </c>
      <c r="M214" s="948">
        <v>0</v>
      </c>
      <c r="N214" s="948">
        <v>0</v>
      </c>
      <c r="O214" s="948">
        <v>0</v>
      </c>
      <c r="P214" s="948">
        <v>100</v>
      </c>
      <c r="Q214" s="948">
        <v>0</v>
      </c>
      <c r="R214" s="948">
        <v>0</v>
      </c>
      <c r="S214" s="553" t="s">
        <v>486</v>
      </c>
      <c r="T214" s="334"/>
      <c r="U214" s="334"/>
    </row>
    <row r="215" spans="1:21" ht="20.25" customHeight="1" x14ac:dyDescent="0.2">
      <c r="A215" s="554"/>
      <c r="B215" s="1175"/>
      <c r="C215" s="412"/>
      <c r="D215" s="1068" t="s">
        <v>5</v>
      </c>
      <c r="E215" s="1239">
        <f>F215+G215+H215+I215+J215+K215</f>
        <v>50.05</v>
      </c>
      <c r="F215" s="354">
        <v>0</v>
      </c>
      <c r="G215" s="354">
        <v>0</v>
      </c>
      <c r="H215" s="354">
        <v>0</v>
      </c>
      <c r="I215" s="354">
        <v>50.05</v>
      </c>
      <c r="J215" s="354">
        <v>0</v>
      </c>
      <c r="K215" s="354">
        <v>0</v>
      </c>
      <c r="L215" s="1301"/>
      <c r="M215" s="1032"/>
      <c r="N215" s="1032"/>
      <c r="O215" s="1032"/>
      <c r="P215" s="1032"/>
      <c r="Q215" s="1032"/>
      <c r="R215" s="1032"/>
      <c r="S215" s="1223"/>
      <c r="T215" s="350"/>
      <c r="U215" s="334"/>
    </row>
    <row r="216" spans="1:21" ht="17.25" customHeight="1" x14ac:dyDescent="0.2">
      <c r="A216" s="554"/>
      <c r="B216" s="1212"/>
      <c r="C216" s="412"/>
      <c r="D216" s="1068" t="s">
        <v>6</v>
      </c>
      <c r="E216" s="1240">
        <f>F216+G216+H216+I216+J216+K216</f>
        <v>0</v>
      </c>
      <c r="F216" s="355">
        <v>0</v>
      </c>
      <c r="G216" s="355">
        <v>0</v>
      </c>
      <c r="H216" s="355">
        <v>0</v>
      </c>
      <c r="I216" s="355">
        <v>0</v>
      </c>
      <c r="J216" s="355">
        <v>0</v>
      </c>
      <c r="K216" s="355">
        <v>0</v>
      </c>
      <c r="L216" s="1301"/>
      <c r="M216" s="1032"/>
      <c r="N216" s="1032"/>
      <c r="O216" s="1032"/>
      <c r="P216" s="1032"/>
      <c r="Q216" s="1032"/>
      <c r="R216" s="1032"/>
      <c r="S216" s="1230"/>
      <c r="T216" s="351"/>
      <c r="U216" s="334"/>
    </row>
    <row r="217" spans="1:21" ht="21" customHeight="1" x14ac:dyDescent="0.2">
      <c r="A217" s="554"/>
      <c r="B217" s="1169"/>
      <c r="C217" s="412"/>
      <c r="D217" s="1220"/>
      <c r="E217" s="356">
        <f t="shared" ref="E217:K217" si="76">E218+E219</f>
        <v>40.4</v>
      </c>
      <c r="F217" s="356">
        <f t="shared" si="76"/>
        <v>0</v>
      </c>
      <c r="G217" s="356">
        <f t="shared" si="76"/>
        <v>0</v>
      </c>
      <c r="H217" s="356">
        <f t="shared" si="76"/>
        <v>0</v>
      </c>
      <c r="I217" s="356">
        <f t="shared" si="76"/>
        <v>40.4</v>
      </c>
      <c r="J217" s="356">
        <f t="shared" si="76"/>
        <v>0</v>
      </c>
      <c r="K217" s="356">
        <f t="shared" si="76"/>
        <v>0</v>
      </c>
      <c r="L217" s="1301" t="s">
        <v>401</v>
      </c>
      <c r="M217" s="948">
        <v>0</v>
      </c>
      <c r="N217" s="948">
        <v>0</v>
      </c>
      <c r="O217" s="948">
        <v>0</v>
      </c>
      <c r="P217" s="948">
        <v>100</v>
      </c>
      <c r="Q217" s="948">
        <v>0</v>
      </c>
      <c r="R217" s="948">
        <v>0</v>
      </c>
      <c r="S217" s="553" t="s">
        <v>448</v>
      </c>
      <c r="T217" s="334"/>
      <c r="U217" s="334"/>
    </row>
    <row r="218" spans="1:21" ht="20.25" customHeight="1" x14ac:dyDescent="0.2">
      <c r="A218" s="554"/>
      <c r="B218" s="1175"/>
      <c r="C218" s="412"/>
      <c r="D218" s="1068" t="s">
        <v>5</v>
      </c>
      <c r="E218" s="1239">
        <f>F218+G218+H218+I218+J218+K218</f>
        <v>40.4</v>
      </c>
      <c r="F218" s="354">
        <v>0</v>
      </c>
      <c r="G218" s="354">
        <v>0</v>
      </c>
      <c r="H218" s="354">
        <v>0</v>
      </c>
      <c r="I218" s="354">
        <v>40.4</v>
      </c>
      <c r="J218" s="354">
        <v>0</v>
      </c>
      <c r="K218" s="354">
        <v>0</v>
      </c>
      <c r="L218" s="1301"/>
      <c r="M218" s="1032"/>
      <c r="N218" s="1032"/>
      <c r="O218" s="1032"/>
      <c r="P218" s="1032"/>
      <c r="Q218" s="1032"/>
      <c r="R218" s="1032"/>
      <c r="S218" s="1223"/>
      <c r="T218" s="350"/>
      <c r="U218" s="334"/>
    </row>
    <row r="219" spans="1:21" ht="17.25" customHeight="1" x14ac:dyDescent="0.2">
      <c r="A219" s="555"/>
      <c r="B219" s="1212"/>
      <c r="C219" s="412"/>
      <c r="D219" s="1068" t="s">
        <v>6</v>
      </c>
      <c r="E219" s="1240">
        <f>F219+G219+H219+I219+J219+K219</f>
        <v>0</v>
      </c>
      <c r="F219" s="355">
        <v>0</v>
      </c>
      <c r="G219" s="355">
        <v>0</v>
      </c>
      <c r="H219" s="355">
        <v>0</v>
      </c>
      <c r="I219" s="355">
        <v>0</v>
      </c>
      <c r="J219" s="355">
        <v>0</v>
      </c>
      <c r="K219" s="355">
        <v>0</v>
      </c>
      <c r="L219" s="1301"/>
      <c r="M219" s="1032"/>
      <c r="N219" s="1032"/>
      <c r="O219" s="1032"/>
      <c r="P219" s="1032"/>
      <c r="Q219" s="1032"/>
      <c r="R219" s="1032"/>
      <c r="S219" s="1230"/>
      <c r="T219" s="351"/>
      <c r="U219" s="334"/>
    </row>
    <row r="220" spans="1:21" ht="13.9" customHeight="1" x14ac:dyDescent="0.2">
      <c r="A220" s="1235" t="s">
        <v>116</v>
      </c>
      <c r="B220" s="1250" t="s">
        <v>420</v>
      </c>
      <c r="C220" s="1250"/>
      <c r="D220" s="1250"/>
      <c r="E220" s="1250"/>
      <c r="F220" s="1250"/>
      <c r="G220" s="1250"/>
      <c r="H220" s="1250"/>
      <c r="I220" s="1250"/>
      <c r="J220" s="1250"/>
      <c r="K220" s="1250"/>
      <c r="L220" s="1250"/>
      <c r="M220" s="1250"/>
      <c r="N220" s="1250"/>
      <c r="O220" s="1250"/>
      <c r="P220" s="1250"/>
      <c r="Q220" s="1250"/>
      <c r="R220" s="1250"/>
      <c r="S220" s="1250"/>
      <c r="T220" s="334"/>
      <c r="U220" s="334"/>
    </row>
    <row r="221" spans="1:21" ht="24" customHeight="1" x14ac:dyDescent="0.2">
      <c r="A221" s="553" t="s">
        <v>118</v>
      </c>
      <c r="B221" s="1169" t="s">
        <v>421</v>
      </c>
      <c r="C221" s="1026" t="s">
        <v>359</v>
      </c>
      <c r="D221" s="1170" t="s">
        <v>450</v>
      </c>
      <c r="E221" s="356">
        <f>+E222+E223</f>
        <v>6183.32</v>
      </c>
      <c r="F221" s="356">
        <f t="shared" ref="F221:K221" si="77">F222+F223</f>
        <v>0</v>
      </c>
      <c r="G221" s="356">
        <f t="shared" si="77"/>
        <v>688.65</v>
      </c>
      <c r="H221" s="356">
        <f t="shared" si="77"/>
        <v>1286.32</v>
      </c>
      <c r="I221" s="356">
        <f t="shared" si="77"/>
        <v>1082.3499999999999</v>
      </c>
      <c r="J221" s="356">
        <f t="shared" si="77"/>
        <v>1563</v>
      </c>
      <c r="K221" s="356">
        <f t="shared" si="77"/>
        <v>1563</v>
      </c>
      <c r="L221" s="1241"/>
      <c r="M221" s="519"/>
      <c r="N221" s="519"/>
      <c r="O221" s="519"/>
      <c r="P221" s="519"/>
      <c r="Q221" s="519"/>
      <c r="R221" s="519"/>
      <c r="S221" s="520"/>
      <c r="T221" s="334"/>
      <c r="U221" s="334"/>
    </row>
    <row r="222" spans="1:21" ht="22.9" customHeight="1" x14ac:dyDescent="0.2">
      <c r="A222" s="554"/>
      <c r="B222" s="1175"/>
      <c r="C222" s="1304"/>
      <c r="D222" s="1068" t="s">
        <v>5</v>
      </c>
      <c r="E222" s="1239">
        <f>SUM(F222:K222)</f>
        <v>6183.32</v>
      </c>
      <c r="F222" s="1050">
        <v>0</v>
      </c>
      <c r="G222" s="1050">
        <f>G225+G228</f>
        <v>688.65</v>
      </c>
      <c r="H222" s="1050">
        <f>H225+H228</f>
        <v>1286.32</v>
      </c>
      <c r="I222" s="1050">
        <f>I225+I228</f>
        <v>1082.3499999999999</v>
      </c>
      <c r="J222" s="1050">
        <f>J225+J228</f>
        <v>1563</v>
      </c>
      <c r="K222" s="1050">
        <f>K225+K228</f>
        <v>1563</v>
      </c>
      <c r="L222" s="1242"/>
      <c r="M222" s="521"/>
      <c r="N222" s="521"/>
      <c r="O222" s="521"/>
      <c r="P222" s="521"/>
      <c r="Q222" s="521"/>
      <c r="R222" s="521"/>
      <c r="S222" s="522"/>
      <c r="T222" s="334"/>
      <c r="U222" s="334"/>
    </row>
    <row r="223" spans="1:21" ht="45.75" customHeight="1" x14ac:dyDescent="0.2">
      <c r="A223" s="555"/>
      <c r="B223" s="1212"/>
      <c r="C223" s="1304"/>
      <c r="D223" s="1108" t="s">
        <v>6</v>
      </c>
      <c r="E223" s="391">
        <f>SUM(F223:K223)</f>
        <v>0</v>
      </c>
      <c r="F223" s="391">
        <v>0</v>
      </c>
      <c r="G223" s="391">
        <v>0</v>
      </c>
      <c r="H223" s="391">
        <v>0</v>
      </c>
      <c r="I223" s="391">
        <v>0</v>
      </c>
      <c r="J223" s="391">
        <v>0</v>
      </c>
      <c r="K223" s="391">
        <v>0</v>
      </c>
      <c r="L223" s="1254"/>
      <c r="M223" s="523"/>
      <c r="N223" s="523"/>
      <c r="O223" s="523"/>
      <c r="P223" s="523"/>
      <c r="Q223" s="523"/>
      <c r="R223" s="523"/>
      <c r="S223" s="524"/>
      <c r="T223" s="334"/>
      <c r="U223" s="334"/>
    </row>
    <row r="224" spans="1:21" ht="21" customHeight="1" x14ac:dyDescent="0.2">
      <c r="A224" s="553" t="s">
        <v>287</v>
      </c>
      <c r="B224" s="1169" t="s">
        <v>431</v>
      </c>
      <c r="C224" s="1305"/>
      <c r="D224" s="1068"/>
      <c r="E224" s="356">
        <f>+E225+E226</f>
        <v>6043.4699999999993</v>
      </c>
      <c r="F224" s="356">
        <f t="shared" ref="F224:K224" si="78">F225+F226</f>
        <v>0</v>
      </c>
      <c r="G224" s="356">
        <f t="shared" si="78"/>
        <v>675.15</v>
      </c>
      <c r="H224" s="356">
        <f t="shared" si="78"/>
        <v>1261.0999999999999</v>
      </c>
      <c r="I224" s="356">
        <f t="shared" si="78"/>
        <v>1042.52</v>
      </c>
      <c r="J224" s="356">
        <f t="shared" si="78"/>
        <v>1532.35</v>
      </c>
      <c r="K224" s="356">
        <f t="shared" si="78"/>
        <v>1532.35</v>
      </c>
      <c r="L224" s="1195" t="s">
        <v>424</v>
      </c>
      <c r="M224" s="491">
        <v>0</v>
      </c>
      <c r="N224" s="491">
        <v>100</v>
      </c>
      <c r="O224" s="491">
        <v>100</v>
      </c>
      <c r="P224" s="491">
        <v>100</v>
      </c>
      <c r="Q224" s="491">
        <v>100</v>
      </c>
      <c r="R224" s="491">
        <v>100</v>
      </c>
      <c r="S224" s="525" t="s">
        <v>422</v>
      </c>
      <c r="T224" s="350"/>
      <c r="U224" s="334"/>
    </row>
    <row r="225" spans="1:21" ht="21" customHeight="1" x14ac:dyDescent="0.2">
      <c r="A225" s="554"/>
      <c r="B225" s="1175"/>
      <c r="C225" s="1306"/>
      <c r="D225" s="1068" t="s">
        <v>5</v>
      </c>
      <c r="E225" s="1239">
        <f>SUM(F225:K225)</f>
        <v>6043.4699999999993</v>
      </c>
      <c r="F225" s="1050">
        <v>0</v>
      </c>
      <c r="G225" s="1050">
        <v>675.15</v>
      </c>
      <c r="H225" s="1050">
        <f>1532.35-271.25</f>
        <v>1261.0999999999999</v>
      </c>
      <c r="I225" s="1050">
        <f>1532.35-361.28-128.55</f>
        <v>1042.52</v>
      </c>
      <c r="J225" s="1050">
        <f t="shared" ref="J225:K225" si="79">1532.35</f>
        <v>1532.35</v>
      </c>
      <c r="K225" s="1050">
        <f t="shared" si="79"/>
        <v>1532.35</v>
      </c>
      <c r="L225" s="1307"/>
      <c r="M225" s="492"/>
      <c r="N225" s="492"/>
      <c r="O225" s="492"/>
      <c r="P225" s="492"/>
      <c r="Q225" s="492"/>
      <c r="R225" s="492"/>
      <c r="S225" s="526"/>
      <c r="T225" s="351"/>
      <c r="U225" s="334"/>
    </row>
    <row r="226" spans="1:21" ht="35.25" customHeight="1" x14ac:dyDescent="0.2">
      <c r="A226" s="555"/>
      <c r="B226" s="1212"/>
      <c r="C226" s="1308"/>
      <c r="D226" s="1108" t="s">
        <v>6</v>
      </c>
      <c r="E226" s="391">
        <f>SUM(F226:K226)</f>
        <v>0</v>
      </c>
      <c r="F226" s="1297">
        <v>0</v>
      </c>
      <c r="G226" s="1297">
        <v>0</v>
      </c>
      <c r="H226" s="1297">
        <v>0</v>
      </c>
      <c r="I226" s="1297">
        <v>0</v>
      </c>
      <c r="J226" s="1297">
        <v>0</v>
      </c>
      <c r="K226" s="1297">
        <v>0</v>
      </c>
      <c r="L226" s="1309"/>
      <c r="M226" s="493"/>
      <c r="N226" s="493"/>
      <c r="O226" s="493"/>
      <c r="P226" s="493"/>
      <c r="Q226" s="493"/>
      <c r="R226" s="493"/>
      <c r="S226" s="526"/>
      <c r="T226" s="334"/>
      <c r="U226" s="334"/>
    </row>
    <row r="227" spans="1:21" ht="20.25" customHeight="1" x14ac:dyDescent="0.2">
      <c r="A227" s="553" t="s">
        <v>288</v>
      </c>
      <c r="B227" s="1169" t="s">
        <v>432</v>
      </c>
      <c r="C227" s="1026" t="s">
        <v>359</v>
      </c>
      <c r="D227" s="1170"/>
      <c r="E227" s="356">
        <f>+E228+E229</f>
        <v>139.85</v>
      </c>
      <c r="F227" s="356">
        <f t="shared" ref="F227:K227" si="80">F228+F229</f>
        <v>0</v>
      </c>
      <c r="G227" s="356">
        <f t="shared" si="80"/>
        <v>13.5</v>
      </c>
      <c r="H227" s="356">
        <f t="shared" si="80"/>
        <v>25.22</v>
      </c>
      <c r="I227" s="356">
        <f t="shared" si="80"/>
        <v>39.83</v>
      </c>
      <c r="J227" s="356">
        <f t="shared" si="80"/>
        <v>30.65</v>
      </c>
      <c r="K227" s="356">
        <f t="shared" si="80"/>
        <v>30.65</v>
      </c>
      <c r="L227" s="1195" t="s">
        <v>423</v>
      </c>
      <c r="M227" s="491">
        <v>0</v>
      </c>
      <c r="N227" s="491">
        <v>5</v>
      </c>
      <c r="O227" s="491">
        <v>7</v>
      </c>
      <c r="P227" s="491">
        <v>10</v>
      </c>
      <c r="Q227" s="491">
        <v>10</v>
      </c>
      <c r="R227" s="491">
        <v>10</v>
      </c>
      <c r="S227" s="526"/>
      <c r="T227" s="334"/>
      <c r="U227" s="334"/>
    </row>
    <row r="228" spans="1:21" ht="21.6" customHeight="1" x14ac:dyDescent="0.2">
      <c r="A228" s="554"/>
      <c r="B228" s="1175"/>
      <c r="C228" s="1304"/>
      <c r="D228" s="1068" t="s">
        <v>5</v>
      </c>
      <c r="E228" s="1239">
        <f>SUM(F228:K228)</f>
        <v>139.85</v>
      </c>
      <c r="F228" s="1050">
        <v>0</v>
      </c>
      <c r="G228" s="1050">
        <v>13.5</v>
      </c>
      <c r="H228" s="1050">
        <f>30.64-5.42</f>
        <v>25.22</v>
      </c>
      <c r="I228" s="1050">
        <f>30.65+20-10.82</f>
        <v>39.83</v>
      </c>
      <c r="J228" s="1050">
        <v>30.65</v>
      </c>
      <c r="K228" s="1050">
        <v>30.65</v>
      </c>
      <c r="L228" s="1197"/>
      <c r="M228" s="492"/>
      <c r="N228" s="492"/>
      <c r="O228" s="492"/>
      <c r="P228" s="492"/>
      <c r="Q228" s="492"/>
      <c r="R228" s="492"/>
      <c r="S228" s="526"/>
      <c r="T228" s="334"/>
      <c r="U228" s="334"/>
    </row>
    <row r="229" spans="1:21" ht="15.6" customHeight="1" x14ac:dyDescent="0.2">
      <c r="A229" s="555"/>
      <c r="B229" s="1212"/>
      <c r="C229" s="1304"/>
      <c r="D229" s="1108" t="s">
        <v>6</v>
      </c>
      <c r="E229" s="391">
        <f>SUM(F229:K229)</f>
        <v>0</v>
      </c>
      <c r="F229" s="391">
        <v>0</v>
      </c>
      <c r="G229" s="391">
        <v>0</v>
      </c>
      <c r="H229" s="391">
        <v>0</v>
      </c>
      <c r="I229" s="391">
        <v>0</v>
      </c>
      <c r="J229" s="391">
        <v>0</v>
      </c>
      <c r="K229" s="391">
        <v>0</v>
      </c>
      <c r="L229" s="1199"/>
      <c r="M229" s="493"/>
      <c r="N229" s="493"/>
      <c r="O229" s="493"/>
      <c r="P229" s="493"/>
      <c r="Q229" s="493"/>
      <c r="R229" s="493"/>
      <c r="S229" s="527"/>
      <c r="T229" s="350"/>
      <c r="U229" s="334"/>
    </row>
    <row r="230" spans="1:21" ht="15.6" customHeight="1" x14ac:dyDescent="0.2">
      <c r="A230" s="1310" t="s">
        <v>454</v>
      </c>
      <c r="B230" s="1311" t="s">
        <v>553</v>
      </c>
      <c r="C230" s="1312"/>
      <c r="D230" s="1312"/>
      <c r="E230" s="1312"/>
      <c r="F230" s="1312"/>
      <c r="G230" s="1312"/>
      <c r="H230" s="1312"/>
      <c r="I230" s="1312"/>
      <c r="J230" s="1312"/>
      <c r="K230" s="1312"/>
      <c r="L230" s="1312"/>
      <c r="M230" s="1312"/>
      <c r="N230" s="1312"/>
      <c r="O230" s="1312"/>
      <c r="P230" s="1312"/>
      <c r="Q230" s="1312"/>
      <c r="R230" s="1312"/>
      <c r="S230" s="1313"/>
      <c r="T230" s="351"/>
      <c r="U230" s="334"/>
    </row>
    <row r="231" spans="1:21" ht="16.5" customHeight="1" x14ac:dyDescent="0.2">
      <c r="A231" s="553" t="s">
        <v>557</v>
      </c>
      <c r="B231" s="1169" t="s">
        <v>562</v>
      </c>
      <c r="C231" s="1021" t="s">
        <v>359</v>
      </c>
      <c r="D231" s="387"/>
      <c r="E231" s="1255">
        <f>F231+G231+H231+I231+J231+K231</f>
        <v>4335.0200000000004</v>
      </c>
      <c r="F231" s="1255">
        <f t="shared" ref="F231" si="81">F232+F233</f>
        <v>0</v>
      </c>
      <c r="G231" s="1255">
        <f t="shared" ref="G231:K231" si="82">G232+G233</f>
        <v>4166.22</v>
      </c>
      <c r="H231" s="1255">
        <f t="shared" si="82"/>
        <v>0</v>
      </c>
      <c r="I231" s="1255">
        <f t="shared" si="82"/>
        <v>168.8</v>
      </c>
      <c r="J231" s="1255">
        <f t="shared" si="82"/>
        <v>0</v>
      </c>
      <c r="K231" s="1255">
        <f t="shared" si="82"/>
        <v>0</v>
      </c>
      <c r="L231" s="1195"/>
      <c r="M231" s="491"/>
      <c r="N231" s="491"/>
      <c r="O231" s="491"/>
      <c r="P231" s="491"/>
      <c r="Q231" s="491"/>
      <c r="R231" s="491"/>
      <c r="S231" s="525"/>
      <c r="T231" s="334"/>
      <c r="U231" s="334"/>
    </row>
    <row r="232" spans="1:21" ht="12" customHeight="1" x14ac:dyDescent="0.2">
      <c r="A232" s="554"/>
      <c r="B232" s="1175"/>
      <c r="C232" s="1035"/>
      <c r="D232" s="389" t="s">
        <v>5</v>
      </c>
      <c r="E232" s="354">
        <f>F232+G232+H232+I232+J232+K232</f>
        <v>208.31</v>
      </c>
      <c r="F232" s="354">
        <f>F236+F240+F259</f>
        <v>0</v>
      </c>
      <c r="G232" s="354">
        <f t="shared" ref="G232:K232" si="83">G236+G240+G259</f>
        <v>208.31</v>
      </c>
      <c r="H232" s="354">
        <f t="shared" si="83"/>
        <v>0</v>
      </c>
      <c r="I232" s="354">
        <f t="shared" si="83"/>
        <v>0</v>
      </c>
      <c r="J232" s="354">
        <f t="shared" si="83"/>
        <v>0</v>
      </c>
      <c r="K232" s="354">
        <f t="shared" si="83"/>
        <v>0</v>
      </c>
      <c r="L232" s="1197"/>
      <c r="M232" s="492"/>
      <c r="N232" s="492"/>
      <c r="O232" s="492"/>
      <c r="P232" s="492"/>
      <c r="Q232" s="492"/>
      <c r="R232" s="492"/>
      <c r="S232" s="526"/>
      <c r="T232" s="334"/>
      <c r="U232" s="334"/>
    </row>
    <row r="233" spans="1:21" ht="23.25" customHeight="1" x14ac:dyDescent="0.2">
      <c r="A233" s="555"/>
      <c r="B233" s="1212"/>
      <c r="C233" s="1037"/>
      <c r="D233" s="390" t="s">
        <v>6</v>
      </c>
      <c r="E233" s="355">
        <f>F233+G233+H233+I233+J233+K233</f>
        <v>4126.71</v>
      </c>
      <c r="F233" s="355">
        <f>F237+F241+F260</f>
        <v>0</v>
      </c>
      <c r="G233" s="355">
        <f t="shared" ref="G233:K233" si="84">G237+G241+G260</f>
        <v>3957.91</v>
      </c>
      <c r="H233" s="355">
        <f t="shared" si="84"/>
        <v>0</v>
      </c>
      <c r="I233" s="355">
        <f t="shared" si="84"/>
        <v>168.8</v>
      </c>
      <c r="J233" s="355">
        <f t="shared" si="84"/>
        <v>0</v>
      </c>
      <c r="K233" s="355">
        <f t="shared" si="84"/>
        <v>0</v>
      </c>
      <c r="L233" s="1199"/>
      <c r="M233" s="493"/>
      <c r="N233" s="493"/>
      <c r="O233" s="493"/>
      <c r="P233" s="493"/>
      <c r="Q233" s="493"/>
      <c r="R233" s="493"/>
      <c r="S233" s="527"/>
      <c r="T233" s="334"/>
      <c r="U233" s="334"/>
    </row>
    <row r="234" spans="1:21" ht="22.5" customHeight="1" x14ac:dyDescent="0.2">
      <c r="A234" s="1205" t="s">
        <v>558</v>
      </c>
      <c r="B234" s="1314" t="s">
        <v>552</v>
      </c>
      <c r="C234" s="1315"/>
      <c r="D234" s="1315"/>
      <c r="E234" s="1315"/>
      <c r="F234" s="1315"/>
      <c r="G234" s="1315"/>
      <c r="H234" s="1315"/>
      <c r="I234" s="1315"/>
      <c r="J234" s="1315"/>
      <c r="K234" s="1315"/>
      <c r="L234" s="1315"/>
      <c r="M234" s="1315"/>
      <c r="N234" s="1315"/>
      <c r="O234" s="1315"/>
      <c r="P234" s="1315"/>
      <c r="Q234" s="1315"/>
      <c r="R234" s="1315"/>
      <c r="S234" s="1316"/>
      <c r="T234" s="334"/>
      <c r="U234" s="334"/>
    </row>
    <row r="235" spans="1:21" ht="16.5" customHeight="1" x14ac:dyDescent="0.2">
      <c r="A235" s="553"/>
      <c r="B235" s="1169" t="s">
        <v>415</v>
      </c>
      <c r="C235" s="1021" t="s">
        <v>359</v>
      </c>
      <c r="D235" s="387"/>
      <c r="E235" s="1255">
        <f>F235+G235+H235+I235+J235+K235</f>
        <v>1175.8499999999999</v>
      </c>
      <c r="F235" s="1255">
        <f t="shared" ref="F235:K235" si="85">F236+F237</f>
        <v>0</v>
      </c>
      <c r="G235" s="1255">
        <f t="shared" si="85"/>
        <v>1175.8499999999999</v>
      </c>
      <c r="H235" s="1255">
        <f t="shared" si="85"/>
        <v>0</v>
      </c>
      <c r="I235" s="1255">
        <f t="shared" si="85"/>
        <v>0</v>
      </c>
      <c r="J235" s="1255">
        <f t="shared" si="85"/>
        <v>0</v>
      </c>
      <c r="K235" s="1255">
        <f t="shared" si="85"/>
        <v>0</v>
      </c>
      <c r="L235" s="1195" t="s">
        <v>456</v>
      </c>
      <c r="M235" s="491">
        <v>0</v>
      </c>
      <c r="N235" s="491">
        <v>100</v>
      </c>
      <c r="O235" s="491">
        <v>0</v>
      </c>
      <c r="P235" s="491">
        <v>0</v>
      </c>
      <c r="Q235" s="491">
        <v>0</v>
      </c>
      <c r="R235" s="491">
        <v>0</v>
      </c>
      <c r="S235" s="525" t="s">
        <v>422</v>
      </c>
      <c r="T235" s="334"/>
      <c r="U235" s="334"/>
    </row>
    <row r="236" spans="1:21" ht="12" customHeight="1" x14ac:dyDescent="0.2">
      <c r="A236" s="554"/>
      <c r="B236" s="1175"/>
      <c r="C236" s="1035"/>
      <c r="D236" s="389" t="s">
        <v>5</v>
      </c>
      <c r="E236" s="354">
        <f>F236+G236+H236+I236+J236+K236</f>
        <v>58.79</v>
      </c>
      <c r="F236" s="354">
        <v>0</v>
      </c>
      <c r="G236" s="354">
        <v>58.79</v>
      </c>
      <c r="H236" s="354">
        <v>0</v>
      </c>
      <c r="I236" s="354">
        <v>0</v>
      </c>
      <c r="J236" s="354">
        <v>0</v>
      </c>
      <c r="K236" s="354">
        <v>0</v>
      </c>
      <c r="L236" s="1197"/>
      <c r="M236" s="492"/>
      <c r="N236" s="492"/>
      <c r="O236" s="492"/>
      <c r="P236" s="492"/>
      <c r="Q236" s="492"/>
      <c r="R236" s="492"/>
      <c r="S236" s="526"/>
      <c r="T236" s="334"/>
      <c r="U236" s="334"/>
    </row>
    <row r="237" spans="1:21" ht="23.25" customHeight="1" x14ac:dyDescent="0.2">
      <c r="A237" s="555"/>
      <c r="B237" s="1212"/>
      <c r="C237" s="1037"/>
      <c r="D237" s="390" t="s">
        <v>6</v>
      </c>
      <c r="E237" s="355">
        <f>F237+G237+H237+I237+J237+K237</f>
        <v>1117.06</v>
      </c>
      <c r="F237" s="355">
        <v>0</v>
      </c>
      <c r="G237" s="355">
        <v>1117.06</v>
      </c>
      <c r="H237" s="355">
        <f>H290+H308+H314</f>
        <v>0</v>
      </c>
      <c r="I237" s="355">
        <f>I290+I308+I314</f>
        <v>0</v>
      </c>
      <c r="J237" s="355">
        <f>J290+J308+J314</f>
        <v>0</v>
      </c>
      <c r="K237" s="355">
        <f>K290+K308+K314</f>
        <v>0</v>
      </c>
      <c r="L237" s="1199"/>
      <c r="M237" s="493"/>
      <c r="N237" s="493"/>
      <c r="O237" s="493"/>
      <c r="P237" s="493"/>
      <c r="Q237" s="493"/>
      <c r="R237" s="493"/>
      <c r="S237" s="527"/>
      <c r="T237" s="334"/>
      <c r="U237" s="334"/>
    </row>
    <row r="238" spans="1:21" ht="17.25" customHeight="1" x14ac:dyDescent="0.2">
      <c r="A238" s="1205" t="s">
        <v>559</v>
      </c>
      <c r="B238" s="1314" t="s">
        <v>554</v>
      </c>
      <c r="C238" s="1315"/>
      <c r="D238" s="1315"/>
      <c r="E238" s="1315"/>
      <c r="F238" s="1315"/>
      <c r="G238" s="1315"/>
      <c r="H238" s="1315"/>
      <c r="I238" s="1315"/>
      <c r="J238" s="1315"/>
      <c r="K238" s="1315"/>
      <c r="L238" s="1315"/>
      <c r="M238" s="1315"/>
      <c r="N238" s="1315"/>
      <c r="O238" s="1315"/>
      <c r="P238" s="1315"/>
      <c r="Q238" s="1315"/>
      <c r="R238" s="1315"/>
      <c r="S238" s="1316"/>
      <c r="T238" s="334"/>
      <c r="U238" s="334"/>
    </row>
    <row r="239" spans="1:21" ht="19.899999999999999" customHeight="1" x14ac:dyDescent="0.2">
      <c r="A239" s="553" t="s">
        <v>560</v>
      </c>
      <c r="B239" s="1169" t="s">
        <v>563</v>
      </c>
      <c r="C239" s="525" t="s">
        <v>359</v>
      </c>
      <c r="D239" s="387" t="s">
        <v>316</v>
      </c>
      <c r="E239" s="356">
        <f>SUM(F239:K239)</f>
        <v>2990.37</v>
      </c>
      <c r="F239" s="1291">
        <f t="shared" ref="F239:K239" si="86">F240+F241</f>
        <v>0</v>
      </c>
      <c r="G239" s="356">
        <f t="shared" si="86"/>
        <v>2990.37</v>
      </c>
      <c r="H239" s="1291">
        <f t="shared" si="86"/>
        <v>0</v>
      </c>
      <c r="I239" s="356">
        <f t="shared" si="86"/>
        <v>0</v>
      </c>
      <c r="J239" s="1291">
        <f t="shared" si="86"/>
        <v>0</v>
      </c>
      <c r="K239" s="356">
        <f t="shared" si="86"/>
        <v>0</v>
      </c>
      <c r="L239" s="1241"/>
      <c r="M239" s="519"/>
      <c r="N239" s="519"/>
      <c r="O239" s="519"/>
      <c r="P239" s="519"/>
      <c r="Q239" s="519"/>
      <c r="R239" s="519"/>
      <c r="S239" s="520"/>
      <c r="T239" s="334"/>
      <c r="U239" s="334"/>
    </row>
    <row r="240" spans="1:21" ht="19.899999999999999" customHeight="1" x14ac:dyDescent="0.2">
      <c r="A240" s="554"/>
      <c r="B240" s="1175"/>
      <c r="C240" s="526"/>
      <c r="D240" s="389" t="s">
        <v>5</v>
      </c>
      <c r="E240" s="1239">
        <f>E243+E246</f>
        <v>149.52000000000001</v>
      </c>
      <c r="F240" s="1293">
        <f t="shared" ref="F240:K240" si="87">F243+F246</f>
        <v>0</v>
      </c>
      <c r="G240" s="1239">
        <f t="shared" si="87"/>
        <v>149.52000000000001</v>
      </c>
      <c r="H240" s="1293">
        <f t="shared" si="87"/>
        <v>0</v>
      </c>
      <c r="I240" s="1239">
        <f t="shared" si="87"/>
        <v>0</v>
      </c>
      <c r="J240" s="1293">
        <f t="shared" si="87"/>
        <v>0</v>
      </c>
      <c r="K240" s="1239">
        <f t="shared" si="87"/>
        <v>0</v>
      </c>
      <c r="L240" s="1242"/>
      <c r="M240" s="521"/>
      <c r="N240" s="521"/>
      <c r="O240" s="521"/>
      <c r="P240" s="521"/>
      <c r="Q240" s="521"/>
      <c r="R240" s="521"/>
      <c r="S240" s="522"/>
      <c r="T240" s="334"/>
      <c r="U240" s="334"/>
    </row>
    <row r="241" spans="1:21" ht="23.45" customHeight="1" x14ac:dyDescent="0.2">
      <c r="A241" s="555"/>
      <c r="B241" s="1212"/>
      <c r="C241" s="526"/>
      <c r="D241" s="390" t="s">
        <v>6</v>
      </c>
      <c r="E241" s="1240">
        <f>E244+E247</f>
        <v>2840.85</v>
      </c>
      <c r="F241" s="1294">
        <f t="shared" ref="F241:K241" si="88">F244+F247</f>
        <v>0</v>
      </c>
      <c r="G241" s="1240">
        <f t="shared" si="88"/>
        <v>2840.85</v>
      </c>
      <c r="H241" s="1294">
        <f t="shared" si="88"/>
        <v>0</v>
      </c>
      <c r="I241" s="1240">
        <f t="shared" si="88"/>
        <v>0</v>
      </c>
      <c r="J241" s="1294">
        <f t="shared" si="88"/>
        <v>0</v>
      </c>
      <c r="K241" s="1240">
        <f t="shared" si="88"/>
        <v>0</v>
      </c>
      <c r="L241" s="1254"/>
      <c r="M241" s="523"/>
      <c r="N241" s="523"/>
      <c r="O241" s="523"/>
      <c r="P241" s="523"/>
      <c r="Q241" s="523"/>
      <c r="R241" s="523"/>
      <c r="S241" s="524"/>
      <c r="T241" s="334"/>
      <c r="U241" s="334"/>
    </row>
    <row r="242" spans="1:21" ht="17.45" customHeight="1" x14ac:dyDescent="0.2">
      <c r="A242" s="553"/>
      <c r="B242" s="1169" t="s">
        <v>414</v>
      </c>
      <c r="C242" s="526"/>
      <c r="D242" s="1220"/>
      <c r="E242" s="1251">
        <f>SUM(F242:K242)</f>
        <v>1512.4499999999998</v>
      </c>
      <c r="F242" s="1256">
        <f t="shared" ref="F242:K242" si="89">F243+F244</f>
        <v>0</v>
      </c>
      <c r="G242" s="1256">
        <f t="shared" si="89"/>
        <v>1512.4499999999998</v>
      </c>
      <c r="H242" s="1256">
        <f t="shared" si="89"/>
        <v>0</v>
      </c>
      <c r="I242" s="1256">
        <f t="shared" si="89"/>
        <v>0</v>
      </c>
      <c r="J242" s="1256">
        <f t="shared" si="89"/>
        <v>0</v>
      </c>
      <c r="K242" s="1256">
        <f t="shared" si="89"/>
        <v>0</v>
      </c>
      <c r="L242" s="488" t="s">
        <v>401</v>
      </c>
      <c r="M242" s="491">
        <v>0</v>
      </c>
      <c r="N242" s="491">
        <v>100</v>
      </c>
      <c r="O242" s="491">
        <v>0</v>
      </c>
      <c r="P242" s="491">
        <v>0</v>
      </c>
      <c r="Q242" s="491">
        <v>0</v>
      </c>
      <c r="R242" s="491">
        <v>0</v>
      </c>
      <c r="S242" s="553" t="s">
        <v>146</v>
      </c>
      <c r="T242" s="334"/>
      <c r="U242" s="334"/>
    </row>
    <row r="243" spans="1:21" ht="17.45" customHeight="1" x14ac:dyDescent="0.2">
      <c r="A243" s="554"/>
      <c r="B243" s="1175"/>
      <c r="C243" s="526"/>
      <c r="D243" s="1068" t="s">
        <v>5</v>
      </c>
      <c r="E243" s="1239">
        <f>SUM(F243:K243)</f>
        <v>75.62</v>
      </c>
      <c r="F243" s="354">
        <v>0</v>
      </c>
      <c r="G243" s="354">
        <v>75.62</v>
      </c>
      <c r="H243" s="354">
        <v>0</v>
      </c>
      <c r="I243" s="354">
        <v>0</v>
      </c>
      <c r="J243" s="354">
        <v>0</v>
      </c>
      <c r="K243" s="354">
        <v>0</v>
      </c>
      <c r="L243" s="489"/>
      <c r="M243" s="492"/>
      <c r="N243" s="492"/>
      <c r="O243" s="492"/>
      <c r="P243" s="492"/>
      <c r="Q243" s="492"/>
      <c r="R243" s="492"/>
      <c r="S243" s="554"/>
      <c r="T243" s="334"/>
      <c r="U243" s="334"/>
    </row>
    <row r="244" spans="1:21" ht="17.45" customHeight="1" x14ac:dyDescent="0.2">
      <c r="A244" s="555"/>
      <c r="B244" s="1212"/>
      <c r="C244" s="526"/>
      <c r="D244" s="1068" t="s">
        <v>6</v>
      </c>
      <c r="E244" s="1297">
        <f>SUM(F244:K244)</f>
        <v>1436.83</v>
      </c>
      <c r="F244" s="354">
        <v>0</v>
      </c>
      <c r="G244" s="354">
        <v>1436.83</v>
      </c>
      <c r="H244" s="354">
        <v>0</v>
      </c>
      <c r="I244" s="354">
        <v>0</v>
      </c>
      <c r="J244" s="354">
        <v>0</v>
      </c>
      <c r="K244" s="354">
        <v>0</v>
      </c>
      <c r="L244" s="490"/>
      <c r="M244" s="493"/>
      <c r="N244" s="493"/>
      <c r="O244" s="493"/>
      <c r="P244" s="493"/>
      <c r="Q244" s="493"/>
      <c r="R244" s="493"/>
      <c r="S244" s="555"/>
      <c r="T244" s="334"/>
      <c r="U244" s="334"/>
    </row>
    <row r="245" spans="1:21" ht="12" customHeight="1" x14ac:dyDescent="0.2">
      <c r="A245" s="553"/>
      <c r="B245" s="1169" t="s">
        <v>416</v>
      </c>
      <c r="C245" s="526"/>
      <c r="D245" s="387"/>
      <c r="E245" s="1042">
        <f t="shared" ref="E245:K245" si="90">E246+E247</f>
        <v>1477.92</v>
      </c>
      <c r="F245" s="1042">
        <f t="shared" si="90"/>
        <v>0</v>
      </c>
      <c r="G245" s="1042">
        <f>G246+G247</f>
        <v>1477.92</v>
      </c>
      <c r="H245" s="1042">
        <f t="shared" si="90"/>
        <v>0</v>
      </c>
      <c r="I245" s="1042">
        <f t="shared" si="90"/>
        <v>0</v>
      </c>
      <c r="J245" s="1042">
        <f t="shared" si="90"/>
        <v>0</v>
      </c>
      <c r="K245" s="1042">
        <f t="shared" si="90"/>
        <v>0</v>
      </c>
      <c r="L245" s="1241"/>
      <c r="M245" s="519"/>
      <c r="N245" s="519"/>
      <c r="O245" s="519"/>
      <c r="P245" s="519"/>
      <c r="Q245" s="519"/>
      <c r="R245" s="519"/>
      <c r="S245" s="520"/>
      <c r="T245" s="334"/>
      <c r="U245" s="334"/>
    </row>
    <row r="246" spans="1:21" ht="12" customHeight="1" x14ac:dyDescent="0.2">
      <c r="A246" s="554"/>
      <c r="B246" s="1175"/>
      <c r="C246" s="526"/>
      <c r="D246" s="389" t="s">
        <v>5</v>
      </c>
      <c r="E246" s="1050">
        <f>SUM(F246:K246)</f>
        <v>73.900000000000006</v>
      </c>
      <c r="F246" s="1050">
        <v>0</v>
      </c>
      <c r="G246" s="1050">
        <f>G249+G252+G255</f>
        <v>73.900000000000006</v>
      </c>
      <c r="H246" s="1050">
        <v>0</v>
      </c>
      <c r="I246" s="1050">
        <v>0</v>
      </c>
      <c r="J246" s="1050">
        <v>0</v>
      </c>
      <c r="K246" s="1050">
        <v>0</v>
      </c>
      <c r="L246" s="1242"/>
      <c r="M246" s="521"/>
      <c r="N246" s="521"/>
      <c r="O246" s="521"/>
      <c r="P246" s="521"/>
      <c r="Q246" s="521"/>
      <c r="R246" s="521"/>
      <c r="S246" s="522"/>
      <c r="T246" s="334"/>
      <c r="U246" s="334"/>
    </row>
    <row r="247" spans="1:21" ht="12" customHeight="1" x14ac:dyDescent="0.2">
      <c r="A247" s="554"/>
      <c r="B247" s="1175"/>
      <c r="C247" s="526"/>
      <c r="D247" s="390" t="s">
        <v>6</v>
      </c>
      <c r="E247" s="1055">
        <f>SUM(F247:K247)</f>
        <v>1404.02</v>
      </c>
      <c r="F247" s="1055">
        <f>F250+F253+F256</f>
        <v>0</v>
      </c>
      <c r="G247" s="1055">
        <f>G250+G253+G256</f>
        <v>1404.02</v>
      </c>
      <c r="H247" s="1055">
        <f>H250+H253+H256</f>
        <v>0</v>
      </c>
      <c r="I247" s="1055">
        <f>I250+I253+I256</f>
        <v>0</v>
      </c>
      <c r="J247" s="1055">
        <f>J250+J253+J256</f>
        <v>0</v>
      </c>
      <c r="K247" s="1055">
        <f>K250+K253+K256</f>
        <v>0</v>
      </c>
      <c r="L247" s="1254"/>
      <c r="M247" s="523"/>
      <c r="N247" s="523"/>
      <c r="O247" s="523"/>
      <c r="P247" s="523"/>
      <c r="Q247" s="523"/>
      <c r="R247" s="523"/>
      <c r="S247" s="524"/>
      <c r="T247" s="334"/>
      <c r="U247" s="334"/>
    </row>
    <row r="248" spans="1:21" ht="12" customHeight="1" x14ac:dyDescent="0.2">
      <c r="A248" s="554"/>
      <c r="B248" s="1175"/>
      <c r="C248" s="526"/>
      <c r="D248" s="387"/>
      <c r="E248" s="1042">
        <f t="shared" ref="E248:K248" si="91">E249+E250</f>
        <v>563.01</v>
      </c>
      <c r="F248" s="1042">
        <f t="shared" si="91"/>
        <v>0</v>
      </c>
      <c r="G248" s="1042">
        <f t="shared" si="91"/>
        <v>563.01</v>
      </c>
      <c r="H248" s="1042">
        <f t="shared" si="91"/>
        <v>0</v>
      </c>
      <c r="I248" s="1042">
        <f t="shared" si="91"/>
        <v>0</v>
      </c>
      <c r="J248" s="1042">
        <f t="shared" si="91"/>
        <v>0</v>
      </c>
      <c r="K248" s="1042">
        <f t="shared" si="91"/>
        <v>0</v>
      </c>
      <c r="L248" s="488" t="s">
        <v>401</v>
      </c>
      <c r="M248" s="491">
        <v>0</v>
      </c>
      <c r="N248" s="491">
        <v>100</v>
      </c>
      <c r="O248" s="491">
        <v>0</v>
      </c>
      <c r="P248" s="491">
        <v>0</v>
      </c>
      <c r="Q248" s="491">
        <v>0</v>
      </c>
      <c r="R248" s="491">
        <v>0</v>
      </c>
      <c r="S248" s="553" t="s">
        <v>484</v>
      </c>
      <c r="T248" s="334"/>
      <c r="U248" s="334"/>
    </row>
    <row r="249" spans="1:21" ht="12" customHeight="1" x14ac:dyDescent="0.2">
      <c r="A249" s="554"/>
      <c r="B249" s="1175"/>
      <c r="C249" s="526"/>
      <c r="D249" s="389" t="s">
        <v>5</v>
      </c>
      <c r="E249" s="1050">
        <f>F249+G249+H249+I249+J249+K249</f>
        <v>28.15</v>
      </c>
      <c r="F249" s="1050">
        <v>0</v>
      </c>
      <c r="G249" s="1050">
        <v>28.15</v>
      </c>
      <c r="H249" s="1050">
        <v>0</v>
      </c>
      <c r="I249" s="1050">
        <v>0</v>
      </c>
      <c r="J249" s="1050">
        <v>0</v>
      </c>
      <c r="K249" s="1050">
        <v>0</v>
      </c>
      <c r="L249" s="489"/>
      <c r="M249" s="492"/>
      <c r="N249" s="492"/>
      <c r="O249" s="492"/>
      <c r="P249" s="492"/>
      <c r="Q249" s="492"/>
      <c r="R249" s="492"/>
      <c r="S249" s="554"/>
      <c r="T249" s="334"/>
      <c r="U249" s="334"/>
    </row>
    <row r="250" spans="1:21" ht="12" customHeight="1" x14ac:dyDescent="0.2">
      <c r="A250" s="554"/>
      <c r="B250" s="1175"/>
      <c r="C250" s="526"/>
      <c r="D250" s="390" t="s">
        <v>6</v>
      </c>
      <c r="E250" s="1055">
        <f>F250+G250+H250+I250+J250+K250</f>
        <v>534.86</v>
      </c>
      <c r="F250" s="1055">
        <v>0</v>
      </c>
      <c r="G250" s="1055">
        <v>534.86</v>
      </c>
      <c r="H250" s="1055">
        <v>0</v>
      </c>
      <c r="I250" s="1055">
        <v>0</v>
      </c>
      <c r="J250" s="1055">
        <v>0</v>
      </c>
      <c r="K250" s="1055">
        <v>0</v>
      </c>
      <c r="L250" s="489"/>
      <c r="M250" s="493"/>
      <c r="N250" s="493"/>
      <c r="O250" s="493"/>
      <c r="P250" s="493"/>
      <c r="Q250" s="493"/>
      <c r="R250" s="493"/>
      <c r="S250" s="555"/>
      <c r="T250" s="334"/>
      <c r="U250" s="334"/>
    </row>
    <row r="251" spans="1:21" ht="12" customHeight="1" x14ac:dyDescent="0.2">
      <c r="A251" s="554"/>
      <c r="B251" s="1175"/>
      <c r="C251" s="526"/>
      <c r="D251" s="387"/>
      <c r="E251" s="1042">
        <f t="shared" ref="E251:K251" si="92">E252+E253</f>
        <v>633.39</v>
      </c>
      <c r="F251" s="1042">
        <f t="shared" si="92"/>
        <v>0</v>
      </c>
      <c r="G251" s="1042">
        <f t="shared" si="92"/>
        <v>633.39</v>
      </c>
      <c r="H251" s="1042">
        <f t="shared" si="92"/>
        <v>0</v>
      </c>
      <c r="I251" s="1042">
        <f t="shared" si="92"/>
        <v>0</v>
      </c>
      <c r="J251" s="1042">
        <f t="shared" si="92"/>
        <v>0</v>
      </c>
      <c r="K251" s="1042">
        <f t="shared" si="92"/>
        <v>0</v>
      </c>
      <c r="L251" s="489"/>
      <c r="M251" s="491">
        <v>0</v>
      </c>
      <c r="N251" s="491">
        <v>100</v>
      </c>
      <c r="O251" s="491">
        <v>0</v>
      </c>
      <c r="P251" s="491">
        <v>0</v>
      </c>
      <c r="Q251" s="491">
        <v>0</v>
      </c>
      <c r="R251" s="491">
        <v>0</v>
      </c>
      <c r="S251" s="553" t="s">
        <v>447</v>
      </c>
      <c r="T251" s="334"/>
      <c r="U251" s="334"/>
    </row>
    <row r="252" spans="1:21" ht="12" customHeight="1" x14ac:dyDescent="0.2">
      <c r="A252" s="554"/>
      <c r="B252" s="1175"/>
      <c r="C252" s="526"/>
      <c r="D252" s="389" t="s">
        <v>5</v>
      </c>
      <c r="E252" s="1050">
        <f>F252+G252+H252+I252+J252+K252</f>
        <v>31.67</v>
      </c>
      <c r="F252" s="1050">
        <v>0</v>
      </c>
      <c r="G252" s="1050">
        <v>31.67</v>
      </c>
      <c r="H252" s="1050">
        <v>0</v>
      </c>
      <c r="I252" s="1050">
        <v>0</v>
      </c>
      <c r="J252" s="1050">
        <v>0</v>
      </c>
      <c r="K252" s="1050">
        <v>0</v>
      </c>
      <c r="L252" s="489"/>
      <c r="M252" s="492"/>
      <c r="N252" s="492"/>
      <c r="O252" s="492"/>
      <c r="P252" s="492"/>
      <c r="Q252" s="492"/>
      <c r="R252" s="492"/>
      <c r="S252" s="554"/>
      <c r="T252" s="334"/>
      <c r="U252" s="334"/>
    </row>
    <row r="253" spans="1:21" ht="12" customHeight="1" x14ac:dyDescent="0.2">
      <c r="A253" s="554"/>
      <c r="B253" s="1175"/>
      <c r="C253" s="526"/>
      <c r="D253" s="390" t="s">
        <v>6</v>
      </c>
      <c r="E253" s="1055">
        <f>F253+G253+H253+I253+J253+K253</f>
        <v>601.72</v>
      </c>
      <c r="F253" s="1055">
        <v>0</v>
      </c>
      <c r="G253" s="1055">
        <v>601.72</v>
      </c>
      <c r="H253" s="1055">
        <v>0</v>
      </c>
      <c r="I253" s="1055">
        <v>0</v>
      </c>
      <c r="J253" s="1055">
        <v>0</v>
      </c>
      <c r="K253" s="1055">
        <v>0</v>
      </c>
      <c r="L253" s="489"/>
      <c r="M253" s="493"/>
      <c r="N253" s="493"/>
      <c r="O253" s="493"/>
      <c r="P253" s="493"/>
      <c r="Q253" s="493"/>
      <c r="R253" s="493"/>
      <c r="S253" s="555"/>
      <c r="T253" s="334"/>
      <c r="U253" s="334"/>
    </row>
    <row r="254" spans="1:21" ht="10.5" customHeight="1" x14ac:dyDescent="0.2">
      <c r="A254" s="554"/>
      <c r="B254" s="1175"/>
      <c r="C254" s="526"/>
      <c r="D254" s="387"/>
      <c r="E254" s="1042">
        <f t="shared" ref="E254:K254" si="93">E255+E256</f>
        <v>281.52</v>
      </c>
      <c r="F254" s="1042">
        <f t="shared" si="93"/>
        <v>0</v>
      </c>
      <c r="G254" s="1042">
        <f t="shared" si="93"/>
        <v>281.52</v>
      </c>
      <c r="H254" s="1042">
        <f t="shared" si="93"/>
        <v>0</v>
      </c>
      <c r="I254" s="1042">
        <f t="shared" si="93"/>
        <v>0</v>
      </c>
      <c r="J254" s="1042">
        <f t="shared" si="93"/>
        <v>0</v>
      </c>
      <c r="K254" s="1042">
        <f t="shared" si="93"/>
        <v>0</v>
      </c>
      <c r="L254" s="489"/>
      <c r="M254" s="491">
        <v>0</v>
      </c>
      <c r="N254" s="491">
        <v>100</v>
      </c>
      <c r="O254" s="491">
        <v>0</v>
      </c>
      <c r="P254" s="491">
        <v>0</v>
      </c>
      <c r="Q254" s="491">
        <v>0</v>
      </c>
      <c r="R254" s="491">
        <v>0</v>
      </c>
      <c r="S254" s="553" t="s">
        <v>460</v>
      </c>
      <c r="T254" s="350"/>
      <c r="U254" s="334"/>
    </row>
    <row r="255" spans="1:21" ht="10.5" customHeight="1" x14ac:dyDescent="0.2">
      <c r="A255" s="554"/>
      <c r="B255" s="1175"/>
      <c r="C255" s="526"/>
      <c r="D255" s="389" t="s">
        <v>5</v>
      </c>
      <c r="E255" s="1050">
        <f>SUM(F255:K255)</f>
        <v>14.08</v>
      </c>
      <c r="F255" s="1050">
        <v>0</v>
      </c>
      <c r="G255" s="1050">
        <v>14.08</v>
      </c>
      <c r="H255" s="1050">
        <v>0</v>
      </c>
      <c r="I255" s="1050">
        <v>0</v>
      </c>
      <c r="J255" s="1050">
        <v>0</v>
      </c>
      <c r="K255" s="1050">
        <v>0</v>
      </c>
      <c r="L255" s="489"/>
      <c r="M255" s="492"/>
      <c r="N255" s="492"/>
      <c r="O255" s="492"/>
      <c r="P255" s="492"/>
      <c r="Q255" s="492"/>
      <c r="R255" s="492"/>
      <c r="S255" s="554"/>
      <c r="T255" s="334"/>
      <c r="U255" s="334"/>
    </row>
    <row r="256" spans="1:21" ht="15.75" customHeight="1" x14ac:dyDescent="0.2">
      <c r="A256" s="555"/>
      <c r="B256" s="1212"/>
      <c r="C256" s="527"/>
      <c r="D256" s="389" t="s">
        <v>6</v>
      </c>
      <c r="E256" s="1050">
        <f>SUM(F256:K256)</f>
        <v>267.44</v>
      </c>
      <c r="F256" s="1050">
        <v>0</v>
      </c>
      <c r="G256" s="1050">
        <v>267.44</v>
      </c>
      <c r="H256" s="1050">
        <v>0</v>
      </c>
      <c r="I256" s="1050">
        <v>0</v>
      </c>
      <c r="J256" s="1050">
        <v>0</v>
      </c>
      <c r="K256" s="1050">
        <v>0</v>
      </c>
      <c r="L256" s="490"/>
      <c r="M256" s="493"/>
      <c r="N256" s="493"/>
      <c r="O256" s="493"/>
      <c r="P256" s="493"/>
      <c r="Q256" s="493"/>
      <c r="R256" s="493"/>
      <c r="S256" s="555"/>
      <c r="T256" s="334"/>
      <c r="U256" s="334"/>
    </row>
    <row r="257" spans="1:21" ht="23.25" customHeight="1" x14ac:dyDescent="0.2">
      <c r="A257" s="1205" t="s">
        <v>561</v>
      </c>
      <c r="B257" s="1314" t="s">
        <v>556</v>
      </c>
      <c r="C257" s="1315"/>
      <c r="D257" s="1315"/>
      <c r="E257" s="1315"/>
      <c r="F257" s="1315"/>
      <c r="G257" s="1315"/>
      <c r="H257" s="1315"/>
      <c r="I257" s="1315"/>
      <c r="J257" s="1315"/>
      <c r="K257" s="1315"/>
      <c r="L257" s="1315"/>
      <c r="M257" s="1315"/>
      <c r="N257" s="1315"/>
      <c r="O257" s="1315"/>
      <c r="P257" s="1315"/>
      <c r="Q257" s="1315"/>
      <c r="R257" s="1315"/>
      <c r="S257" s="1316"/>
      <c r="T257" s="334"/>
      <c r="U257" s="334"/>
    </row>
    <row r="258" spans="1:21" ht="16.5" customHeight="1" x14ac:dyDescent="0.2">
      <c r="A258" s="553"/>
      <c r="B258" s="1169" t="s">
        <v>555</v>
      </c>
      <c r="C258" s="1021" t="s">
        <v>359</v>
      </c>
      <c r="D258" s="387"/>
      <c r="E258" s="1255">
        <f>F258+G258+H258+I258+J258+K258</f>
        <v>168.8</v>
      </c>
      <c r="F258" s="1255">
        <f t="shared" ref="F258:K258" si="94">F259+F260</f>
        <v>0</v>
      </c>
      <c r="G258" s="1255">
        <f t="shared" si="94"/>
        <v>0</v>
      </c>
      <c r="H258" s="1255">
        <f t="shared" si="94"/>
        <v>0</v>
      </c>
      <c r="I258" s="1255">
        <f t="shared" si="94"/>
        <v>168.8</v>
      </c>
      <c r="J258" s="1255">
        <f t="shared" si="94"/>
        <v>0</v>
      </c>
      <c r="K258" s="1255">
        <f t="shared" si="94"/>
        <v>0</v>
      </c>
      <c r="L258" s="1195" t="s">
        <v>564</v>
      </c>
      <c r="M258" s="491">
        <v>0</v>
      </c>
      <c r="N258" s="491">
        <v>0</v>
      </c>
      <c r="O258" s="491">
        <v>0</v>
      </c>
      <c r="P258" s="491">
        <v>100</v>
      </c>
      <c r="Q258" s="491">
        <v>0</v>
      </c>
      <c r="R258" s="491">
        <v>0</v>
      </c>
      <c r="S258" s="525" t="s">
        <v>447</v>
      </c>
      <c r="T258" s="334"/>
      <c r="U258" s="334"/>
    </row>
    <row r="259" spans="1:21" ht="12" customHeight="1" x14ac:dyDescent="0.2">
      <c r="A259" s="554"/>
      <c r="B259" s="1175"/>
      <c r="C259" s="1035"/>
      <c r="D259" s="389" t="s">
        <v>5</v>
      </c>
      <c r="E259" s="354">
        <f>F259+G259+H259+I259+J259+K259</f>
        <v>0</v>
      </c>
      <c r="F259" s="354">
        <v>0</v>
      </c>
      <c r="G259" s="354">
        <v>0</v>
      </c>
      <c r="H259" s="354">
        <v>0</v>
      </c>
      <c r="I259" s="354">
        <v>0</v>
      </c>
      <c r="J259" s="354">
        <v>0</v>
      </c>
      <c r="K259" s="354">
        <v>0</v>
      </c>
      <c r="L259" s="1197"/>
      <c r="M259" s="492"/>
      <c r="N259" s="492"/>
      <c r="O259" s="492"/>
      <c r="P259" s="492"/>
      <c r="Q259" s="492"/>
      <c r="R259" s="492"/>
      <c r="S259" s="526"/>
      <c r="T259" s="334"/>
      <c r="U259" s="334"/>
    </row>
    <row r="260" spans="1:21" ht="23.25" customHeight="1" thickBot="1" x14ac:dyDescent="0.25">
      <c r="A260" s="555"/>
      <c r="B260" s="1212"/>
      <c r="C260" s="1037"/>
      <c r="D260" s="390" t="s">
        <v>6</v>
      </c>
      <c r="E260" s="355">
        <f>F260+G260+H260+I260+J260+K260</f>
        <v>168.8</v>
      </c>
      <c r="F260" s="355">
        <v>0</v>
      </c>
      <c r="G260" s="355">
        <v>0</v>
      </c>
      <c r="H260" s="355">
        <f>H295+H313+H319</f>
        <v>0</v>
      </c>
      <c r="I260" s="355">
        <v>168.8</v>
      </c>
      <c r="J260" s="355">
        <f>J295+J313+J319</f>
        <v>0</v>
      </c>
      <c r="K260" s="355">
        <f>K295+K313+K319</f>
        <v>0</v>
      </c>
      <c r="L260" s="1199"/>
      <c r="M260" s="493"/>
      <c r="N260" s="493"/>
      <c r="O260" s="493"/>
      <c r="P260" s="493"/>
      <c r="Q260" s="493"/>
      <c r="R260" s="493"/>
      <c r="S260" s="527"/>
      <c r="T260" s="334"/>
      <c r="U260" s="334"/>
    </row>
    <row r="261" spans="1:21" ht="15.75" customHeight="1" x14ac:dyDescent="0.2">
      <c r="A261" s="1317"/>
      <c r="B261" s="1156" t="s">
        <v>13</v>
      </c>
      <c r="C261" s="1317"/>
      <c r="D261" s="1318" t="s">
        <v>296</v>
      </c>
      <c r="E261" s="1319">
        <f t="shared" ref="E261:K261" si="95">SUM(E263:E264)</f>
        <v>1460645.6940000001</v>
      </c>
      <c r="F261" s="1319">
        <f t="shared" si="95"/>
        <v>203282.80400000003</v>
      </c>
      <c r="G261" s="1319">
        <f>SUM(G263:G264)</f>
        <v>218276.63000000003</v>
      </c>
      <c r="H261" s="1319">
        <f t="shared" si="95"/>
        <v>258799.8</v>
      </c>
      <c r="I261" s="1319">
        <f t="shared" si="95"/>
        <v>277613.39</v>
      </c>
      <c r="J261" s="1319">
        <f t="shared" si="95"/>
        <v>251656.12000000005</v>
      </c>
      <c r="K261" s="1320">
        <f t="shared" si="95"/>
        <v>251016.95</v>
      </c>
      <c r="L261" s="1269"/>
      <c r="M261" s="1269"/>
      <c r="N261" s="1269"/>
      <c r="O261" s="1269"/>
      <c r="P261" s="1269"/>
      <c r="Q261" s="1269"/>
      <c r="R261" s="1269"/>
      <c r="S261" s="1270"/>
      <c r="T261" s="334"/>
      <c r="U261" s="334"/>
    </row>
    <row r="262" spans="1:21" ht="18.75" customHeight="1" x14ac:dyDescent="0.2">
      <c r="A262" s="1317"/>
      <c r="B262" s="1156"/>
      <c r="C262" s="1317"/>
      <c r="D262" s="1321"/>
      <c r="E262" s="1322"/>
      <c r="F262" s="1322"/>
      <c r="G262" s="1322"/>
      <c r="H262" s="1322"/>
      <c r="I262" s="1322"/>
      <c r="J262" s="1322"/>
      <c r="K262" s="1323"/>
      <c r="L262" s="1272"/>
      <c r="M262" s="1272"/>
      <c r="N262" s="1272"/>
      <c r="O262" s="1272"/>
      <c r="P262" s="1272"/>
      <c r="Q262" s="1272"/>
      <c r="R262" s="1272"/>
      <c r="S262" s="1273"/>
    </row>
    <row r="263" spans="1:21" ht="18.75" customHeight="1" x14ac:dyDescent="0.2">
      <c r="A263" s="1317"/>
      <c r="B263" s="1156"/>
      <c r="C263" s="1317"/>
      <c r="D263" s="1324" t="s">
        <v>5</v>
      </c>
      <c r="E263" s="1325">
        <f>SUM(F263:K263)</f>
        <v>382521.304</v>
      </c>
      <c r="F263" s="1325">
        <f t="shared" ref="F263:H263" si="96">F59+F12+F64+F79+F173+F222+F232</f>
        <v>63638.853999999992</v>
      </c>
      <c r="G263" s="1325">
        <f t="shared" si="96"/>
        <v>59280.719999999994</v>
      </c>
      <c r="H263" s="1325">
        <f t="shared" si="96"/>
        <v>68395.5</v>
      </c>
      <c r="I263" s="1325">
        <f>I59+I12+I64+I79+I173+I222+I232</f>
        <v>68940.22</v>
      </c>
      <c r="J263" s="1325">
        <f t="shared" ref="J263:K263" si="97">J59+J12+J64+J79+J173+J222+J232</f>
        <v>62161.55</v>
      </c>
      <c r="K263" s="1325">
        <f t="shared" si="97"/>
        <v>60104.46</v>
      </c>
      <c r="L263" s="1272"/>
      <c r="M263" s="1272"/>
      <c r="N263" s="1272"/>
      <c r="O263" s="1272"/>
      <c r="P263" s="1272"/>
      <c r="Q263" s="1272"/>
      <c r="R263" s="1272"/>
      <c r="S263" s="1273"/>
    </row>
    <row r="264" spans="1:21" ht="18.75" customHeight="1" thickBot="1" x14ac:dyDescent="0.25">
      <c r="A264" s="1317"/>
      <c r="B264" s="1156"/>
      <c r="C264" s="1317"/>
      <c r="D264" s="1326" t="s">
        <v>6</v>
      </c>
      <c r="E264" s="1327">
        <f>SUM(F264:K264)</f>
        <v>1078124.3900000001</v>
      </c>
      <c r="F264" s="1327">
        <f t="shared" ref="F264:H264" si="98">F60+F13+F65+F80+F174+F223+F233</f>
        <v>139643.95000000004</v>
      </c>
      <c r="G264" s="1327">
        <f t="shared" si="98"/>
        <v>158995.91000000003</v>
      </c>
      <c r="H264" s="1327">
        <f t="shared" si="98"/>
        <v>190404.3</v>
      </c>
      <c r="I264" s="1327">
        <f>I60+I13+I65+I80+I174+I223+I233</f>
        <v>208673.17</v>
      </c>
      <c r="J264" s="1327">
        <f t="shared" ref="J264:K264" si="99">J60+J13+J65+J80+J174+J223+J233</f>
        <v>189494.57000000004</v>
      </c>
      <c r="K264" s="1327">
        <f t="shared" si="99"/>
        <v>190912.49000000002</v>
      </c>
      <c r="L264" s="1275"/>
      <c r="M264" s="1275"/>
      <c r="N264" s="1275"/>
      <c r="O264" s="1275"/>
      <c r="P264" s="1275"/>
      <c r="Q264" s="1275"/>
      <c r="R264" s="1275"/>
      <c r="S264" s="1276"/>
    </row>
    <row r="267" spans="1:21" ht="18.75" customHeight="1" x14ac:dyDescent="0.2">
      <c r="F267" s="326"/>
    </row>
    <row r="268" spans="1:21" ht="18.75" customHeight="1" x14ac:dyDescent="0.2">
      <c r="F268" s="326"/>
      <c r="G268" s="326"/>
      <c r="I268" s="326"/>
    </row>
  </sheetData>
  <mergeCells count="581">
    <mergeCell ref="B230:S230"/>
    <mergeCell ref="B234:S234"/>
    <mergeCell ref="A235:A237"/>
    <mergeCell ref="B235:B237"/>
    <mergeCell ref="C235:C237"/>
    <mergeCell ref="L235:L237"/>
    <mergeCell ref="M235:M237"/>
    <mergeCell ref="N235:N237"/>
    <mergeCell ref="O235:O237"/>
    <mergeCell ref="P235:P237"/>
    <mergeCell ref="Q235:Q237"/>
    <mergeCell ref="R235:R237"/>
    <mergeCell ref="S235:S237"/>
    <mergeCell ref="A231:A233"/>
    <mergeCell ref="B231:B233"/>
    <mergeCell ref="C231:C233"/>
    <mergeCell ref="L231:L233"/>
    <mergeCell ref="M231:M233"/>
    <mergeCell ref="N231:N233"/>
    <mergeCell ref="O231:O233"/>
    <mergeCell ref="P231:P233"/>
    <mergeCell ref="Q231:Q233"/>
    <mergeCell ref="R231:R233"/>
    <mergeCell ref="S231:S233"/>
    <mergeCell ref="S214:S216"/>
    <mergeCell ref="B217:B219"/>
    <mergeCell ref="L217:L219"/>
    <mergeCell ref="M217:M219"/>
    <mergeCell ref="N217:N219"/>
    <mergeCell ref="O217:O219"/>
    <mergeCell ref="P217:P219"/>
    <mergeCell ref="Q217:Q219"/>
    <mergeCell ref="R217:R219"/>
    <mergeCell ref="S217:S219"/>
    <mergeCell ref="A211:A219"/>
    <mergeCell ref="B214:B216"/>
    <mergeCell ref="L214:L216"/>
    <mergeCell ref="M214:M216"/>
    <mergeCell ref="N214:N216"/>
    <mergeCell ref="O214:O216"/>
    <mergeCell ref="P214:P216"/>
    <mergeCell ref="Q214:Q216"/>
    <mergeCell ref="R214:R216"/>
    <mergeCell ref="B211:B213"/>
    <mergeCell ref="L211:L213"/>
    <mergeCell ref="M211:M213"/>
    <mergeCell ref="N211:N213"/>
    <mergeCell ref="O211:O213"/>
    <mergeCell ref="P211:P213"/>
    <mergeCell ref="Q211:Q213"/>
    <mergeCell ref="R211:R213"/>
    <mergeCell ref="M162:M164"/>
    <mergeCell ref="N162:N164"/>
    <mergeCell ref="S211:S213"/>
    <mergeCell ref="S51:S53"/>
    <mergeCell ref="C51:C53"/>
    <mergeCell ref="A165:A167"/>
    <mergeCell ref="B165:B167"/>
    <mergeCell ref="L165:L167"/>
    <mergeCell ref="M165:M167"/>
    <mergeCell ref="N165:N167"/>
    <mergeCell ref="O165:O167"/>
    <mergeCell ref="P165:P167"/>
    <mergeCell ref="Q165:Q167"/>
    <mergeCell ref="R165:R167"/>
    <mergeCell ref="S165:S167"/>
    <mergeCell ref="A51:A53"/>
    <mergeCell ref="B51:B53"/>
    <mergeCell ref="L51:L53"/>
    <mergeCell ref="M51:M53"/>
    <mergeCell ref="N51:N53"/>
    <mergeCell ref="O51:O53"/>
    <mergeCell ref="P51:P53"/>
    <mergeCell ref="Q51:Q53"/>
    <mergeCell ref="R51:R53"/>
    <mergeCell ref="R224:R226"/>
    <mergeCell ref="M205:M207"/>
    <mergeCell ref="N205:N207"/>
    <mergeCell ref="O205:O207"/>
    <mergeCell ref="P205:P207"/>
    <mergeCell ref="L202:L204"/>
    <mergeCell ref="M202:M204"/>
    <mergeCell ref="N202:N204"/>
    <mergeCell ref="O202:O204"/>
    <mergeCell ref="P202:P204"/>
    <mergeCell ref="Q202:Q204"/>
    <mergeCell ref="R202:R204"/>
    <mergeCell ref="N208:N210"/>
    <mergeCell ref="Q224:Q226"/>
    <mergeCell ref="O224:O226"/>
    <mergeCell ref="O208:O210"/>
    <mergeCell ref="P208:P210"/>
    <mergeCell ref="Q208:Q210"/>
    <mergeCell ref="R208:R210"/>
    <mergeCell ref="Q205:Q207"/>
    <mergeCell ref="R205:R207"/>
    <mergeCell ref="A159:A161"/>
    <mergeCell ref="B132:B134"/>
    <mergeCell ref="A175:A186"/>
    <mergeCell ref="A156:A158"/>
    <mergeCell ref="A168:A170"/>
    <mergeCell ref="B168:B170"/>
    <mergeCell ref="B187:B189"/>
    <mergeCell ref="A135:A137"/>
    <mergeCell ref="A138:A140"/>
    <mergeCell ref="A141:A143"/>
    <mergeCell ref="B138:B140"/>
    <mergeCell ref="B159:B161"/>
    <mergeCell ref="B144:B155"/>
    <mergeCell ref="B135:B137"/>
    <mergeCell ref="A144:A155"/>
    <mergeCell ref="A132:A134"/>
    <mergeCell ref="A208:A210"/>
    <mergeCell ref="B208:B210"/>
    <mergeCell ref="Q96:Q98"/>
    <mergeCell ref="R96:R98"/>
    <mergeCell ref="O187:O189"/>
    <mergeCell ref="R187:R189"/>
    <mergeCell ref="M187:M189"/>
    <mergeCell ref="N187:N189"/>
    <mergeCell ref="B224:B226"/>
    <mergeCell ref="M224:M226"/>
    <mergeCell ref="Q147:Q149"/>
    <mergeCell ref="Q187:Q189"/>
    <mergeCell ref="R144:R146"/>
    <mergeCell ref="Q153:Q155"/>
    <mergeCell ref="N141:N143"/>
    <mergeCell ref="M135:M137"/>
    <mergeCell ref="N135:N137"/>
    <mergeCell ref="P144:P146"/>
    <mergeCell ref="P141:P143"/>
    <mergeCell ref="R126:R131"/>
    <mergeCell ref="P96:P98"/>
    <mergeCell ref="P156:P158"/>
    <mergeCell ref="R156:R158"/>
    <mergeCell ref="B202:B204"/>
    <mergeCell ref="C224:C226"/>
    <mergeCell ref="N224:N226"/>
    <mergeCell ref="P99:P122"/>
    <mergeCell ref="B175:B186"/>
    <mergeCell ref="L175:S177"/>
    <mergeCell ref="Q227:Q229"/>
    <mergeCell ref="L224:L226"/>
    <mergeCell ref="P224:P226"/>
    <mergeCell ref="N227:N229"/>
    <mergeCell ref="Q184:Q186"/>
    <mergeCell ref="P184:P186"/>
    <mergeCell ref="O196:O198"/>
    <mergeCell ref="N196:N198"/>
    <mergeCell ref="M184:M186"/>
    <mergeCell ref="S196:S198"/>
    <mergeCell ref="S159:S161"/>
    <mergeCell ref="O153:O155"/>
    <mergeCell ref="R132:R134"/>
    <mergeCell ref="B171:S171"/>
    <mergeCell ref="N156:N158"/>
    <mergeCell ref="S150:S152"/>
    <mergeCell ref="P162:P164"/>
    <mergeCell ref="B156:B158"/>
    <mergeCell ref="B190:B198"/>
    <mergeCell ref="O159:O161"/>
    <mergeCell ref="P159:P161"/>
    <mergeCell ref="O144:O146"/>
    <mergeCell ref="M156:M158"/>
    <mergeCell ref="M159:M161"/>
    <mergeCell ref="N159:N161"/>
    <mergeCell ref="S96:S98"/>
    <mergeCell ref="L58:L59"/>
    <mergeCell ref="L66:L71"/>
    <mergeCell ref="M66:M71"/>
    <mergeCell ref="N66:N71"/>
    <mergeCell ref="O66:O71"/>
    <mergeCell ref="L96:L98"/>
    <mergeCell ref="M96:M98"/>
    <mergeCell ref="N96:N98"/>
    <mergeCell ref="O81:O92"/>
    <mergeCell ref="L81:L92"/>
    <mergeCell ref="Q159:Q161"/>
    <mergeCell ref="Q156:Q158"/>
    <mergeCell ref="M193:M195"/>
    <mergeCell ref="S199:S201"/>
    <mergeCell ref="N60:N61"/>
    <mergeCell ref="M60:M61"/>
    <mergeCell ref="N144:N146"/>
    <mergeCell ref="Q99:Q122"/>
    <mergeCell ref="R135:R137"/>
    <mergeCell ref="N193:N195"/>
    <mergeCell ref="P193:P195"/>
    <mergeCell ref="R153:R155"/>
    <mergeCell ref="R150:R152"/>
    <mergeCell ref="L63:S65"/>
    <mergeCell ref="P60:P61"/>
    <mergeCell ref="S156:S158"/>
    <mergeCell ref="L156:L158"/>
    <mergeCell ref="O156:O158"/>
    <mergeCell ref="M132:M134"/>
    <mergeCell ref="M138:M140"/>
    <mergeCell ref="N138:N140"/>
    <mergeCell ref="N132:N134"/>
    <mergeCell ref="L159:L161"/>
    <mergeCell ref="O135:O137"/>
    <mergeCell ref="Q132:Q134"/>
    <mergeCell ref="O162:O164"/>
    <mergeCell ref="Q60:Q61"/>
    <mergeCell ref="B58:B61"/>
    <mergeCell ref="P66:P71"/>
    <mergeCell ref="R66:R71"/>
    <mergeCell ref="O58:O59"/>
    <mergeCell ref="N58:N59"/>
    <mergeCell ref="Q81:Q92"/>
    <mergeCell ref="N99:N122"/>
    <mergeCell ref="M181:M183"/>
    <mergeCell ref="Q66:Q71"/>
    <mergeCell ref="L72:S74"/>
    <mergeCell ref="Q135:Q137"/>
    <mergeCell ref="P81:P92"/>
    <mergeCell ref="M78:S80"/>
    <mergeCell ref="S66:S71"/>
    <mergeCell ref="L168:L170"/>
    <mergeCell ref="M168:M170"/>
    <mergeCell ref="N168:N170"/>
    <mergeCell ref="O168:O170"/>
    <mergeCell ref="P168:P170"/>
    <mergeCell ref="Q168:Q170"/>
    <mergeCell ref="R168:R170"/>
    <mergeCell ref="S168:S170"/>
    <mergeCell ref="P132:P134"/>
    <mergeCell ref="A58:A61"/>
    <mergeCell ref="C58:C61"/>
    <mergeCell ref="B39:B41"/>
    <mergeCell ref="A14:A35"/>
    <mergeCell ref="A36:A38"/>
    <mergeCell ref="B63:B65"/>
    <mergeCell ref="A87:A89"/>
    <mergeCell ref="B129:B131"/>
    <mergeCell ref="A42:A44"/>
    <mergeCell ref="C63:C76"/>
    <mergeCell ref="A90:A92"/>
    <mergeCell ref="A96:A98"/>
    <mergeCell ref="A63:A65"/>
    <mergeCell ref="A105:A107"/>
    <mergeCell ref="A108:A110"/>
    <mergeCell ref="A111:A113"/>
    <mergeCell ref="C78:C155"/>
    <mergeCell ref="B69:B71"/>
    <mergeCell ref="B114:B116"/>
    <mergeCell ref="B105:B107"/>
    <mergeCell ref="B111:B113"/>
    <mergeCell ref="B84:B86"/>
    <mergeCell ref="B93:B95"/>
    <mergeCell ref="B99:B101"/>
    <mergeCell ref="M1:S1"/>
    <mergeCell ref="M2:S2"/>
    <mergeCell ref="N31:N32"/>
    <mergeCell ref="P31:P32"/>
    <mergeCell ref="Q58:Q59"/>
    <mergeCell ref="Q31:Q32"/>
    <mergeCell ref="S30:S32"/>
    <mergeCell ref="S25:S29"/>
    <mergeCell ref="S58:S61"/>
    <mergeCell ref="R58:R59"/>
    <mergeCell ref="R45:R47"/>
    <mergeCell ref="S45:S47"/>
    <mergeCell ref="I3:S3"/>
    <mergeCell ref="E6:K6"/>
    <mergeCell ref="B9:S9"/>
    <mergeCell ref="B10:S10"/>
    <mergeCell ref="L6:R6"/>
    <mergeCell ref="M33:M35"/>
    <mergeCell ref="L60:L61"/>
    <mergeCell ref="F60:F61"/>
    <mergeCell ref="G60:G61"/>
    <mergeCell ref="H60:H61"/>
    <mergeCell ref="E60:E61"/>
    <mergeCell ref="O60:O61"/>
    <mergeCell ref="P58:P59"/>
    <mergeCell ref="N45:N47"/>
    <mergeCell ref="O150:O152"/>
    <mergeCell ref="Q150:Q152"/>
    <mergeCell ref="M144:M146"/>
    <mergeCell ref="M150:M152"/>
    <mergeCell ref="P147:P149"/>
    <mergeCell ref="N126:N131"/>
    <mergeCell ref="S147:S149"/>
    <mergeCell ref="S126:S131"/>
    <mergeCell ref="S93:S95"/>
    <mergeCell ref="S135:S137"/>
    <mergeCell ref="R147:R149"/>
    <mergeCell ref="Q144:Q146"/>
    <mergeCell ref="S81:S92"/>
    <mergeCell ref="S99:S122"/>
    <mergeCell ref="R81:R92"/>
    <mergeCell ref="M81:M92"/>
    <mergeCell ref="R141:R143"/>
    <mergeCell ref="Q126:Q131"/>
    <mergeCell ref="P126:P131"/>
    <mergeCell ref="M126:M131"/>
    <mergeCell ref="O126:O131"/>
    <mergeCell ref="O147:O149"/>
    <mergeCell ref="S48:S50"/>
    <mergeCell ref="S33:S35"/>
    <mergeCell ref="C6:C7"/>
    <mergeCell ref="A4:S4"/>
    <mergeCell ref="Q45:Q47"/>
    <mergeCell ref="D6:D7"/>
    <mergeCell ref="O45:O47"/>
    <mergeCell ref="R99:R122"/>
    <mergeCell ref="L123:S125"/>
    <mergeCell ref="O31:O32"/>
    <mergeCell ref="B36:B38"/>
    <mergeCell ref="B6:B7"/>
    <mergeCell ref="M58:M59"/>
    <mergeCell ref="A39:A41"/>
    <mergeCell ref="B14:B35"/>
    <mergeCell ref="L31:L32"/>
    <mergeCell ref="B11:B13"/>
    <mergeCell ref="A45:A47"/>
    <mergeCell ref="M45:M47"/>
    <mergeCell ref="L45:L47"/>
    <mergeCell ref="B45:B47"/>
    <mergeCell ref="A11:A13"/>
    <mergeCell ref="B42:B44"/>
    <mergeCell ref="B57:S57"/>
    <mergeCell ref="A261:A264"/>
    <mergeCell ref="B261:B264"/>
    <mergeCell ref="C261:C264"/>
    <mergeCell ref="D261:D262"/>
    <mergeCell ref="E261:E262"/>
    <mergeCell ref="K261:K262"/>
    <mergeCell ref="J261:J262"/>
    <mergeCell ref="F261:F262"/>
    <mergeCell ref="G261:G262"/>
    <mergeCell ref="I261:I262"/>
    <mergeCell ref="H261:H262"/>
    <mergeCell ref="A6:A7"/>
    <mergeCell ref="A126:A128"/>
    <mergeCell ref="A120:A122"/>
    <mergeCell ref="A93:A95"/>
    <mergeCell ref="A66:A68"/>
    <mergeCell ref="B78:B80"/>
    <mergeCell ref="B87:B89"/>
    <mergeCell ref="B90:B92"/>
    <mergeCell ref="B77:S77"/>
    <mergeCell ref="A117:A119"/>
    <mergeCell ref="P75:P76"/>
    <mergeCell ref="L93:L95"/>
    <mergeCell ref="B96:B98"/>
    <mergeCell ref="A99:A101"/>
    <mergeCell ref="A78:A80"/>
    <mergeCell ref="B81:B83"/>
    <mergeCell ref="A84:A86"/>
    <mergeCell ref="B120:B122"/>
    <mergeCell ref="B102:B104"/>
    <mergeCell ref="L78:L80"/>
    <mergeCell ref="S54:S56"/>
    <mergeCell ref="P54:P56"/>
    <mergeCell ref="Q54:Q56"/>
    <mergeCell ref="R54:R56"/>
    <mergeCell ref="A258:A260"/>
    <mergeCell ref="B66:B68"/>
    <mergeCell ref="B108:B110"/>
    <mergeCell ref="A221:A223"/>
    <mergeCell ref="S162:S164"/>
    <mergeCell ref="A205:A207"/>
    <mergeCell ref="B205:B207"/>
    <mergeCell ref="L205:L207"/>
    <mergeCell ref="S205:S207"/>
    <mergeCell ref="A162:A164"/>
    <mergeCell ref="B162:B164"/>
    <mergeCell ref="L162:L164"/>
    <mergeCell ref="Q162:Q164"/>
    <mergeCell ref="R162:R164"/>
    <mergeCell ref="Q178:Q180"/>
    <mergeCell ref="P178:P180"/>
    <mergeCell ref="B172:B174"/>
    <mergeCell ref="M196:M198"/>
    <mergeCell ref="A199:A201"/>
    <mergeCell ref="A129:A131"/>
    <mergeCell ref="A102:A104"/>
    <mergeCell ref="A81:A83"/>
    <mergeCell ref="A123:A125"/>
    <mergeCell ref="A114:A116"/>
    <mergeCell ref="B123:B125"/>
    <mergeCell ref="L99:L122"/>
    <mergeCell ref="M99:M122"/>
    <mergeCell ref="O99:O122"/>
    <mergeCell ref="R138:R140"/>
    <mergeCell ref="O138:O140"/>
    <mergeCell ref="Q138:Q140"/>
    <mergeCell ref="D60:D61"/>
    <mergeCell ref="L261:S264"/>
    <mergeCell ref="O75:O76"/>
    <mergeCell ref="B62:S62"/>
    <mergeCell ref="L75:L76"/>
    <mergeCell ref="S153:S155"/>
    <mergeCell ref="M153:M155"/>
    <mergeCell ref="N153:N155"/>
    <mergeCell ref="K60:K61"/>
    <mergeCell ref="I60:I61"/>
    <mergeCell ref="R60:R61"/>
    <mergeCell ref="M93:M95"/>
    <mergeCell ref="N93:N95"/>
    <mergeCell ref="O93:O95"/>
    <mergeCell ref="P93:P95"/>
    <mergeCell ref="Q93:Q95"/>
    <mergeCell ref="R93:R95"/>
    <mergeCell ref="Q193:Q195"/>
    <mergeCell ref="S178:S180"/>
    <mergeCell ref="S187:S189"/>
    <mergeCell ref="S193:S195"/>
    <mergeCell ref="P187:P189"/>
    <mergeCell ref="L199:L201"/>
    <mergeCell ref="M199:M201"/>
    <mergeCell ref="T6:T7"/>
    <mergeCell ref="S6:S7"/>
    <mergeCell ref="S141:S143"/>
    <mergeCell ref="S132:S134"/>
    <mergeCell ref="N75:N76"/>
    <mergeCell ref="O132:O134"/>
    <mergeCell ref="M141:M143"/>
    <mergeCell ref="Q141:Q143"/>
    <mergeCell ref="P138:P140"/>
    <mergeCell ref="M75:M76"/>
    <mergeCell ref="S138:S140"/>
    <mergeCell ref="P36:S38"/>
    <mergeCell ref="S39:S44"/>
    <mergeCell ref="S17:S19"/>
    <mergeCell ref="L14:S16"/>
    <mergeCell ref="L11:S13"/>
    <mergeCell ref="N33:N35"/>
    <mergeCell ref="P153:P155"/>
    <mergeCell ref="N150:N152"/>
    <mergeCell ref="P150:P152"/>
    <mergeCell ref="L126:L137"/>
    <mergeCell ref="L138:L140"/>
    <mergeCell ref="L141:L143"/>
    <mergeCell ref="O141:O143"/>
    <mergeCell ref="N147:N149"/>
    <mergeCell ref="N81:N92"/>
    <mergeCell ref="L144:L146"/>
    <mergeCell ref="L147:L155"/>
    <mergeCell ref="M147:M149"/>
    <mergeCell ref="O96:O98"/>
    <mergeCell ref="P135:P137"/>
    <mergeCell ref="A245:A256"/>
    <mergeCell ref="A239:A241"/>
    <mergeCell ref="B239:B241"/>
    <mergeCell ref="R254:R256"/>
    <mergeCell ref="P251:P253"/>
    <mergeCell ref="M248:M250"/>
    <mergeCell ref="N248:N250"/>
    <mergeCell ref="O248:O250"/>
    <mergeCell ref="A242:A244"/>
    <mergeCell ref="C239:C256"/>
    <mergeCell ref="L239:S241"/>
    <mergeCell ref="S254:S256"/>
    <mergeCell ref="M254:M256"/>
    <mergeCell ref="P248:P250"/>
    <mergeCell ref="L248:L256"/>
    <mergeCell ref="L245:S247"/>
    <mergeCell ref="R251:R253"/>
    <mergeCell ref="Q251:Q253"/>
    <mergeCell ref="O251:O253"/>
    <mergeCell ref="N251:N253"/>
    <mergeCell ref="S251:S253"/>
    <mergeCell ref="R242:R244"/>
    <mergeCell ref="S248:S250"/>
    <mergeCell ref="S224:S229"/>
    <mergeCell ref="N199:N201"/>
    <mergeCell ref="O199:O201"/>
    <mergeCell ref="P199:P201"/>
    <mergeCell ref="Q199:Q201"/>
    <mergeCell ref="R199:R201"/>
    <mergeCell ref="R196:R198"/>
    <mergeCell ref="R193:R195"/>
    <mergeCell ref="Q196:Q198"/>
    <mergeCell ref="P196:P198"/>
    <mergeCell ref="B220:S220"/>
    <mergeCell ref="S208:S210"/>
    <mergeCell ref="C172:C198"/>
    <mergeCell ref="N178:N180"/>
    <mergeCell ref="N184:N186"/>
    <mergeCell ref="R184:R186"/>
    <mergeCell ref="P181:P183"/>
    <mergeCell ref="N181:N183"/>
    <mergeCell ref="L187:L189"/>
    <mergeCell ref="L193:L198"/>
    <mergeCell ref="L190:S192"/>
    <mergeCell ref="O184:O186"/>
    <mergeCell ref="S202:S204"/>
    <mergeCell ref="N242:N244"/>
    <mergeCell ref="S258:S260"/>
    <mergeCell ref="R258:R260"/>
    <mergeCell ref="Q258:Q260"/>
    <mergeCell ref="B257:S257"/>
    <mergeCell ref="B221:B223"/>
    <mergeCell ref="R227:R229"/>
    <mergeCell ref="N258:N260"/>
    <mergeCell ref="B258:B260"/>
    <mergeCell ref="C258:C260"/>
    <mergeCell ref="O258:O260"/>
    <mergeCell ref="L242:L244"/>
    <mergeCell ref="B242:B244"/>
    <mergeCell ref="Q248:Q250"/>
    <mergeCell ref="R248:R250"/>
    <mergeCell ref="N254:N256"/>
    <mergeCell ref="O254:O256"/>
    <mergeCell ref="Q254:Q256"/>
    <mergeCell ref="P254:P256"/>
    <mergeCell ref="P242:P244"/>
    <mergeCell ref="M242:M244"/>
    <mergeCell ref="O242:O244"/>
    <mergeCell ref="B238:S238"/>
    <mergeCell ref="M251:M253"/>
    <mergeCell ref="R159:R161"/>
    <mergeCell ref="C221:C223"/>
    <mergeCell ref="L258:L260"/>
    <mergeCell ref="M258:M260"/>
    <mergeCell ref="B199:B201"/>
    <mergeCell ref="L172:S174"/>
    <mergeCell ref="Q181:Q183"/>
    <mergeCell ref="O181:O183"/>
    <mergeCell ref="L178:L186"/>
    <mergeCell ref="R178:R180"/>
    <mergeCell ref="S181:S183"/>
    <mergeCell ref="S184:S186"/>
    <mergeCell ref="R181:R183"/>
    <mergeCell ref="L221:S223"/>
    <mergeCell ref="L227:L229"/>
    <mergeCell ref="M227:M229"/>
    <mergeCell ref="O227:O229"/>
    <mergeCell ref="B227:B229"/>
    <mergeCell ref="C227:C229"/>
    <mergeCell ref="P227:P229"/>
    <mergeCell ref="P258:P260"/>
    <mergeCell ref="B245:B256"/>
    <mergeCell ref="S242:S244"/>
    <mergeCell ref="Q242:Q244"/>
    <mergeCell ref="R48:R50"/>
    <mergeCell ref="C11:C50"/>
    <mergeCell ref="A48:A50"/>
    <mergeCell ref="B48:B50"/>
    <mergeCell ref="L48:L50"/>
    <mergeCell ref="M48:M50"/>
    <mergeCell ref="N48:N50"/>
    <mergeCell ref="O48:O50"/>
    <mergeCell ref="P48:P50"/>
    <mergeCell ref="Q48:Q50"/>
    <mergeCell ref="L33:L35"/>
    <mergeCell ref="L25:L27"/>
    <mergeCell ref="M31:M32"/>
    <mergeCell ref="R31:R32"/>
    <mergeCell ref="Q33:Q35"/>
    <mergeCell ref="R33:R35"/>
    <mergeCell ref="O33:O35"/>
    <mergeCell ref="P33:P35"/>
    <mergeCell ref="P45:P47"/>
    <mergeCell ref="A54:A56"/>
    <mergeCell ref="B54:B56"/>
    <mergeCell ref="C54:C56"/>
    <mergeCell ref="L54:L56"/>
    <mergeCell ref="M54:M56"/>
    <mergeCell ref="N54:N56"/>
    <mergeCell ref="O54:O56"/>
    <mergeCell ref="A224:A226"/>
    <mergeCell ref="A227:A229"/>
    <mergeCell ref="L208:L210"/>
    <mergeCell ref="M208:M210"/>
    <mergeCell ref="A69:A71"/>
    <mergeCell ref="A72:A76"/>
    <mergeCell ref="M178:M180"/>
    <mergeCell ref="O178:O180"/>
    <mergeCell ref="A202:A204"/>
    <mergeCell ref="A187:A189"/>
    <mergeCell ref="A190:A198"/>
    <mergeCell ref="O193:O195"/>
    <mergeCell ref="J60:J61"/>
    <mergeCell ref="B72:B76"/>
    <mergeCell ref="B117:B119"/>
    <mergeCell ref="B126:B128"/>
    <mergeCell ref="B141:B143"/>
  </mergeCells>
  <printOptions horizontalCentered="1"/>
  <pageMargins left="0.23622047244094491" right="0.23622047244094491" top="0.19685039370078741" bottom="0.31496062992125984" header="0" footer="0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76"/>
  <sheetViews>
    <sheetView zoomScaleSheetLayoutView="100" workbookViewId="0">
      <pane ySplit="7" topLeftCell="A8" activePane="bottomLeft" state="frozen"/>
      <selection pane="bottomLeft" activeCell="L18" sqref="L18:L22"/>
    </sheetView>
  </sheetViews>
  <sheetFormatPr defaultColWidth="19.5703125" defaultRowHeight="18.75" customHeight="1" x14ac:dyDescent="0.2"/>
  <cols>
    <col min="1" max="1" width="6.5703125" style="1" customWidth="1"/>
    <col min="2" max="2" width="28.42578125" style="1" customWidth="1"/>
    <col min="3" max="3" width="6.42578125" style="51" customWidth="1"/>
    <col min="4" max="4" width="6.85546875" style="42" customWidth="1"/>
    <col min="5" max="5" width="8" style="42" customWidth="1"/>
    <col min="6" max="10" width="8.42578125" style="42" customWidth="1"/>
    <col min="11" max="11" width="23.42578125" style="53" customWidth="1"/>
    <col min="12" max="16" width="5" style="42" customWidth="1"/>
    <col min="17" max="17" width="19" style="3" customWidth="1"/>
    <col min="18" max="16384" width="19.5703125" style="1"/>
  </cols>
  <sheetData>
    <row r="1" spans="1:17" ht="26.25" customHeight="1" x14ac:dyDescent="0.2">
      <c r="A1" s="9"/>
      <c r="B1" s="9"/>
      <c r="C1" s="50"/>
      <c r="D1" s="35"/>
      <c r="E1" s="35"/>
      <c r="F1" s="35"/>
      <c r="G1" s="560" t="s">
        <v>310</v>
      </c>
      <c r="H1" s="560"/>
      <c r="I1" s="560"/>
      <c r="J1" s="560"/>
      <c r="K1" s="560"/>
      <c r="L1" s="560"/>
      <c r="M1" s="560"/>
      <c r="N1" s="560"/>
      <c r="O1" s="560"/>
      <c r="P1" s="560"/>
      <c r="Q1" s="560"/>
    </row>
    <row r="2" spans="1:17" ht="30.75" customHeight="1" x14ac:dyDescent="0.2">
      <c r="A2" s="9"/>
      <c r="B2" s="9"/>
      <c r="C2" s="50"/>
      <c r="D2" s="35"/>
      <c r="E2" s="35"/>
      <c r="F2" s="35"/>
      <c r="G2" s="328"/>
      <c r="H2" s="328"/>
      <c r="I2" s="328"/>
      <c r="J2" s="328"/>
      <c r="K2" s="568" t="s">
        <v>309</v>
      </c>
      <c r="L2" s="568"/>
      <c r="M2" s="568"/>
      <c r="N2" s="568"/>
      <c r="O2" s="568"/>
      <c r="P2" s="568"/>
      <c r="Q2" s="568"/>
    </row>
    <row r="3" spans="1:17" ht="28.5" customHeight="1" x14ac:dyDescent="0.2">
      <c r="A3" s="561" t="s">
        <v>308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</row>
    <row r="4" spans="1:17" ht="10.5" customHeight="1" x14ac:dyDescent="0.2">
      <c r="A4" s="9"/>
      <c r="B4" s="9"/>
      <c r="C4" s="50"/>
      <c r="D4" s="35"/>
      <c r="E4" s="35"/>
      <c r="F4" s="35"/>
      <c r="G4" s="35"/>
      <c r="H4" s="35"/>
      <c r="I4" s="35"/>
      <c r="J4" s="35"/>
      <c r="K4" s="52"/>
      <c r="L4" s="35"/>
      <c r="M4" s="35"/>
      <c r="N4" s="35"/>
      <c r="O4" s="35"/>
      <c r="P4" s="35"/>
      <c r="Q4" s="79" t="s">
        <v>7</v>
      </c>
    </row>
    <row r="5" spans="1:17" s="15" customFormat="1" ht="40.5" customHeight="1" x14ac:dyDescent="0.2">
      <c r="A5" s="562" t="s">
        <v>16</v>
      </c>
      <c r="B5" s="563" t="s">
        <v>15</v>
      </c>
      <c r="C5" s="562" t="s">
        <v>8</v>
      </c>
      <c r="D5" s="562" t="s">
        <v>9</v>
      </c>
      <c r="E5" s="565" t="s">
        <v>0</v>
      </c>
      <c r="F5" s="566"/>
      <c r="G5" s="566"/>
      <c r="H5" s="566"/>
      <c r="I5" s="566"/>
      <c r="J5" s="567"/>
      <c r="K5" s="565" t="s">
        <v>17</v>
      </c>
      <c r="L5" s="566"/>
      <c r="M5" s="566"/>
      <c r="N5" s="566"/>
      <c r="O5" s="566"/>
      <c r="P5" s="567"/>
      <c r="Q5" s="563" t="s">
        <v>14</v>
      </c>
    </row>
    <row r="6" spans="1:17" s="15" customFormat="1" ht="14.25" customHeight="1" x14ac:dyDescent="0.2">
      <c r="A6" s="562"/>
      <c r="B6" s="564"/>
      <c r="C6" s="562"/>
      <c r="D6" s="562"/>
      <c r="E6" s="75" t="s">
        <v>1</v>
      </c>
      <c r="F6" s="75" t="s">
        <v>2</v>
      </c>
      <c r="G6" s="75" t="s">
        <v>3</v>
      </c>
      <c r="H6" s="75" t="s">
        <v>57</v>
      </c>
      <c r="I6" s="75" t="s">
        <v>155</v>
      </c>
      <c r="J6" s="75" t="s">
        <v>156</v>
      </c>
      <c r="K6" s="75" t="s">
        <v>4</v>
      </c>
      <c r="L6" s="75">
        <v>2014</v>
      </c>
      <c r="M6" s="75">
        <v>2015</v>
      </c>
      <c r="N6" s="75">
        <v>2016</v>
      </c>
      <c r="O6" s="75">
        <v>2017</v>
      </c>
      <c r="P6" s="75">
        <v>2018</v>
      </c>
      <c r="Q6" s="564"/>
    </row>
    <row r="7" spans="1:17" s="10" customFormat="1" ht="9.75" customHeight="1" x14ac:dyDescent="0.15">
      <c r="A7" s="185">
        <v>1</v>
      </c>
      <c r="B7" s="185">
        <v>2</v>
      </c>
      <c r="C7" s="185">
        <v>3</v>
      </c>
      <c r="D7" s="185">
        <v>4</v>
      </c>
      <c r="E7" s="185">
        <v>5</v>
      </c>
      <c r="F7" s="185">
        <v>6</v>
      </c>
      <c r="G7" s="185">
        <v>7</v>
      </c>
      <c r="H7" s="185">
        <v>8</v>
      </c>
      <c r="I7" s="185">
        <v>9</v>
      </c>
      <c r="J7" s="185">
        <v>10</v>
      </c>
      <c r="K7" s="185">
        <v>11</v>
      </c>
      <c r="L7" s="185">
        <v>12</v>
      </c>
      <c r="M7" s="185">
        <v>13</v>
      </c>
      <c r="N7" s="185">
        <v>14</v>
      </c>
      <c r="O7" s="185">
        <v>15</v>
      </c>
      <c r="P7" s="185">
        <v>16</v>
      </c>
      <c r="Q7" s="185">
        <v>17</v>
      </c>
    </row>
    <row r="8" spans="1:17" ht="11.25" customHeight="1" x14ac:dyDescent="0.2">
      <c r="A8" s="185"/>
      <c r="B8" s="571" t="s">
        <v>44</v>
      </c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</row>
    <row r="9" spans="1:17" ht="13.5" customHeight="1" x14ac:dyDescent="0.2">
      <c r="A9" s="20">
        <v>1</v>
      </c>
      <c r="B9" s="581" t="s">
        <v>79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</row>
    <row r="10" spans="1:17" ht="23.1" customHeight="1" x14ac:dyDescent="0.2">
      <c r="A10" s="582" t="s">
        <v>19</v>
      </c>
      <c r="B10" s="584" t="s">
        <v>45</v>
      </c>
      <c r="C10" s="586" t="s">
        <v>161</v>
      </c>
      <c r="D10" s="139" t="s">
        <v>249</v>
      </c>
      <c r="E10" s="201">
        <f t="shared" ref="E10:J10" si="0">E11</f>
        <v>10970.5</v>
      </c>
      <c r="F10" s="201">
        <f t="shared" si="0"/>
        <v>8761</v>
      </c>
      <c r="G10" s="201">
        <f t="shared" si="0"/>
        <v>2209.5</v>
      </c>
      <c r="H10" s="201">
        <f t="shared" si="0"/>
        <v>0</v>
      </c>
      <c r="I10" s="201">
        <f t="shared" si="0"/>
        <v>0</v>
      </c>
      <c r="J10" s="201">
        <f t="shared" si="0"/>
        <v>0</v>
      </c>
      <c r="K10" s="587" t="s">
        <v>248</v>
      </c>
      <c r="L10" s="589" t="s">
        <v>236</v>
      </c>
      <c r="M10" s="589" t="s">
        <v>236</v>
      </c>
      <c r="N10" s="589" t="s">
        <v>213</v>
      </c>
      <c r="O10" s="589" t="s">
        <v>213</v>
      </c>
      <c r="P10" s="589" t="s">
        <v>213</v>
      </c>
      <c r="Q10" s="589" t="s">
        <v>63</v>
      </c>
    </row>
    <row r="11" spans="1:17" ht="6.75" customHeight="1" x14ac:dyDescent="0.2">
      <c r="A11" s="583"/>
      <c r="B11" s="585"/>
      <c r="C11" s="585"/>
      <c r="D11" s="591" t="s">
        <v>5</v>
      </c>
      <c r="E11" s="559">
        <f>SUM(F11:J12)</f>
        <v>10970.5</v>
      </c>
      <c r="F11" s="559">
        <f>16163-6362-120-300-620</f>
        <v>8761</v>
      </c>
      <c r="G11" s="559">
        <f>2359.5-150</f>
        <v>2209.5</v>
      </c>
      <c r="H11" s="559">
        <v>0</v>
      </c>
      <c r="I11" s="559">
        <v>0</v>
      </c>
      <c r="J11" s="559">
        <v>0</v>
      </c>
      <c r="K11" s="588"/>
      <c r="L11" s="588"/>
      <c r="M11" s="588"/>
      <c r="N11" s="588"/>
      <c r="O11" s="588"/>
      <c r="P11" s="588"/>
      <c r="Q11" s="590"/>
    </row>
    <row r="12" spans="1:17" ht="6.75" customHeight="1" thickBot="1" x14ac:dyDescent="0.25">
      <c r="A12" s="583"/>
      <c r="B12" s="585"/>
      <c r="C12" s="585"/>
      <c r="D12" s="591"/>
      <c r="E12" s="559"/>
      <c r="F12" s="559"/>
      <c r="G12" s="559"/>
      <c r="H12" s="559"/>
      <c r="I12" s="559"/>
      <c r="J12" s="559"/>
      <c r="K12" s="588"/>
      <c r="L12" s="588"/>
      <c r="M12" s="588"/>
      <c r="N12" s="588"/>
      <c r="O12" s="588"/>
      <c r="P12" s="588"/>
      <c r="Q12" s="590"/>
    </row>
    <row r="13" spans="1:17" ht="15" customHeight="1" x14ac:dyDescent="0.2">
      <c r="A13" s="569"/>
      <c r="B13" s="571" t="s">
        <v>23</v>
      </c>
      <c r="C13" s="573"/>
      <c r="D13" s="575" t="s">
        <v>249</v>
      </c>
      <c r="E13" s="577">
        <f>SUM(F13:J14)</f>
        <v>10970.5</v>
      </c>
      <c r="F13" s="577">
        <f>SUM(F15:F16)</f>
        <v>8761</v>
      </c>
      <c r="G13" s="577">
        <f>SUM(G15:G16)</f>
        <v>2209.5</v>
      </c>
      <c r="H13" s="577">
        <f>SUM(H15:H16)</f>
        <v>0</v>
      </c>
      <c r="I13" s="577">
        <f>SUM(I15:I16)</f>
        <v>0</v>
      </c>
      <c r="J13" s="595">
        <f>SUM(J15:J16)</f>
        <v>0</v>
      </c>
      <c r="K13" s="597"/>
      <c r="L13" s="579"/>
      <c r="M13" s="579"/>
      <c r="N13" s="579"/>
      <c r="O13" s="579"/>
      <c r="P13" s="579"/>
      <c r="Q13" s="579"/>
    </row>
    <row r="14" spans="1:17" ht="10.5" customHeight="1" x14ac:dyDescent="0.2">
      <c r="A14" s="569"/>
      <c r="B14" s="571"/>
      <c r="C14" s="573"/>
      <c r="D14" s="576"/>
      <c r="E14" s="578"/>
      <c r="F14" s="578"/>
      <c r="G14" s="578"/>
      <c r="H14" s="578"/>
      <c r="I14" s="578"/>
      <c r="J14" s="596"/>
      <c r="K14" s="597"/>
      <c r="L14" s="579"/>
      <c r="M14" s="579"/>
      <c r="N14" s="579"/>
      <c r="O14" s="579"/>
      <c r="P14" s="579"/>
      <c r="Q14" s="579"/>
    </row>
    <row r="15" spans="1:17" ht="13.5" customHeight="1" x14ac:dyDescent="0.2">
      <c r="A15" s="569"/>
      <c r="B15" s="571"/>
      <c r="C15" s="573"/>
      <c r="D15" s="38" t="s">
        <v>5</v>
      </c>
      <c r="E15" s="184">
        <f>SUM(F15:J15)</f>
        <v>10970.5</v>
      </c>
      <c r="F15" s="184">
        <f>SUM(F11,F67)</f>
        <v>8761</v>
      </c>
      <c r="G15" s="184">
        <f>G11</f>
        <v>2209.5</v>
      </c>
      <c r="H15" s="184">
        <f>SUM(H11,H67)</f>
        <v>0</v>
      </c>
      <c r="I15" s="184">
        <f>SUM(I11,I67)</f>
        <v>0</v>
      </c>
      <c r="J15" s="43">
        <f>SUM(J11,J67)</f>
        <v>0</v>
      </c>
      <c r="K15" s="597"/>
      <c r="L15" s="579"/>
      <c r="M15" s="579"/>
      <c r="N15" s="579"/>
      <c r="O15" s="579"/>
      <c r="P15" s="579"/>
      <c r="Q15" s="579"/>
    </row>
    <row r="16" spans="1:17" ht="13.5" customHeight="1" thickBot="1" x14ac:dyDescent="0.25">
      <c r="A16" s="570"/>
      <c r="B16" s="572"/>
      <c r="C16" s="574"/>
      <c r="D16" s="39" t="s">
        <v>6</v>
      </c>
      <c r="E16" s="44">
        <f>SUM(F16:J16)</f>
        <v>0</v>
      </c>
      <c r="F16" s="44">
        <f>F66</f>
        <v>0</v>
      </c>
      <c r="G16" s="44">
        <v>0</v>
      </c>
      <c r="H16" s="44">
        <f>H66</f>
        <v>0</v>
      </c>
      <c r="I16" s="44">
        <f>I66</f>
        <v>0</v>
      </c>
      <c r="J16" s="45">
        <f>J66</f>
        <v>0</v>
      </c>
      <c r="K16" s="598"/>
      <c r="L16" s="580"/>
      <c r="M16" s="580"/>
      <c r="N16" s="580"/>
      <c r="O16" s="580"/>
      <c r="P16" s="580"/>
      <c r="Q16" s="580"/>
    </row>
    <row r="17" spans="1:17" ht="16.5" customHeight="1" x14ac:dyDescent="0.2">
      <c r="A17" s="16" t="s">
        <v>24</v>
      </c>
      <c r="B17" s="592" t="s">
        <v>80</v>
      </c>
      <c r="C17" s="593"/>
      <c r="D17" s="593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4"/>
    </row>
    <row r="18" spans="1:17" ht="24.6" customHeight="1" x14ac:dyDescent="0.2">
      <c r="A18" s="582" t="s">
        <v>26</v>
      </c>
      <c r="B18" s="584" t="s">
        <v>46</v>
      </c>
      <c r="C18" s="586" t="s">
        <v>161</v>
      </c>
      <c r="D18" s="197" t="s">
        <v>249</v>
      </c>
      <c r="E18" s="198">
        <f t="shared" ref="E18:J18" si="1">SUM(E19:E22)</f>
        <v>978</v>
      </c>
      <c r="F18" s="198">
        <f t="shared" si="1"/>
        <v>240</v>
      </c>
      <c r="G18" s="198">
        <f t="shared" si="1"/>
        <v>138</v>
      </c>
      <c r="H18" s="198">
        <f t="shared" si="1"/>
        <v>200</v>
      </c>
      <c r="I18" s="198">
        <f t="shared" si="1"/>
        <v>200</v>
      </c>
      <c r="J18" s="198">
        <f t="shared" si="1"/>
        <v>200</v>
      </c>
      <c r="K18" s="584" t="s">
        <v>250</v>
      </c>
      <c r="L18" s="589" t="s">
        <v>240</v>
      </c>
      <c r="M18" s="589" t="s">
        <v>240</v>
      </c>
      <c r="N18" s="589" t="s">
        <v>240</v>
      </c>
      <c r="O18" s="589" t="s">
        <v>240</v>
      </c>
      <c r="P18" s="589" t="s">
        <v>240</v>
      </c>
      <c r="Q18" s="582" t="s">
        <v>136</v>
      </c>
    </row>
    <row r="19" spans="1:17" ht="16.5" customHeight="1" x14ac:dyDescent="0.2">
      <c r="A19" s="615"/>
      <c r="B19" s="607"/>
      <c r="C19" s="601"/>
      <c r="D19" s="603" t="s">
        <v>5</v>
      </c>
      <c r="E19" s="605">
        <f>SUM(F19:J20)</f>
        <v>978</v>
      </c>
      <c r="F19" s="605">
        <v>240</v>
      </c>
      <c r="G19" s="496">
        <f>200-62</f>
        <v>138</v>
      </c>
      <c r="H19" s="605">
        <v>200</v>
      </c>
      <c r="I19" s="605">
        <v>200</v>
      </c>
      <c r="J19" s="605">
        <v>200</v>
      </c>
      <c r="K19" s="607"/>
      <c r="L19" s="599"/>
      <c r="M19" s="599"/>
      <c r="N19" s="599"/>
      <c r="O19" s="599"/>
      <c r="P19" s="599"/>
      <c r="Q19" s="601"/>
    </row>
    <row r="20" spans="1:17" ht="6" customHeight="1" x14ac:dyDescent="0.2">
      <c r="A20" s="615"/>
      <c r="B20" s="607"/>
      <c r="C20" s="601"/>
      <c r="D20" s="604"/>
      <c r="E20" s="606"/>
      <c r="F20" s="606"/>
      <c r="G20" s="497"/>
      <c r="H20" s="606"/>
      <c r="I20" s="606"/>
      <c r="J20" s="606"/>
      <c r="K20" s="607"/>
      <c r="L20" s="599"/>
      <c r="M20" s="599"/>
      <c r="N20" s="599"/>
      <c r="O20" s="599"/>
      <c r="P20" s="599"/>
      <c r="Q20" s="601"/>
    </row>
    <row r="21" spans="1:17" ht="16.5" customHeight="1" x14ac:dyDescent="0.2">
      <c r="A21" s="615"/>
      <c r="B21" s="607"/>
      <c r="C21" s="601"/>
      <c r="D21" s="591" t="s">
        <v>6</v>
      </c>
      <c r="E21" s="605">
        <f>SUM(F21:J22)</f>
        <v>0</v>
      </c>
      <c r="F21" s="610">
        <v>0</v>
      </c>
      <c r="G21" s="610">
        <v>0</v>
      </c>
      <c r="H21" s="610">
        <v>0</v>
      </c>
      <c r="I21" s="610">
        <v>0</v>
      </c>
      <c r="J21" s="610">
        <v>0</v>
      </c>
      <c r="K21" s="607"/>
      <c r="L21" s="599"/>
      <c r="M21" s="599"/>
      <c r="N21" s="599"/>
      <c r="O21" s="599"/>
      <c r="P21" s="599"/>
      <c r="Q21" s="601"/>
    </row>
    <row r="22" spans="1:17" ht="8.4499999999999993" customHeight="1" thickBot="1" x14ac:dyDescent="0.25">
      <c r="A22" s="616"/>
      <c r="B22" s="608"/>
      <c r="C22" s="602"/>
      <c r="D22" s="603"/>
      <c r="E22" s="609"/>
      <c r="F22" s="611"/>
      <c r="G22" s="611"/>
      <c r="H22" s="611"/>
      <c r="I22" s="611"/>
      <c r="J22" s="611"/>
      <c r="K22" s="608"/>
      <c r="L22" s="600"/>
      <c r="M22" s="600"/>
      <c r="N22" s="600"/>
      <c r="O22" s="600"/>
      <c r="P22" s="600"/>
      <c r="Q22" s="602"/>
    </row>
    <row r="23" spans="1:17" ht="12.75" customHeight="1" x14ac:dyDescent="0.2">
      <c r="A23" s="612"/>
      <c r="B23" s="571" t="s">
        <v>43</v>
      </c>
      <c r="C23" s="613"/>
      <c r="D23" s="575" t="s">
        <v>249</v>
      </c>
      <c r="E23" s="577">
        <f>SUM(F23:J24)</f>
        <v>978</v>
      </c>
      <c r="F23" s="577">
        <f>SUM(F19)</f>
        <v>240</v>
      </c>
      <c r="G23" s="577">
        <f>SUM(G19)</f>
        <v>138</v>
      </c>
      <c r="H23" s="577">
        <f>SUM(H19)</f>
        <v>200</v>
      </c>
      <c r="I23" s="577">
        <f>SUM(I19)</f>
        <v>200</v>
      </c>
      <c r="J23" s="595">
        <f>SUM(J19)</f>
        <v>200</v>
      </c>
      <c r="K23" s="597"/>
      <c r="L23" s="591"/>
      <c r="M23" s="591"/>
      <c r="N23" s="591"/>
      <c r="O23" s="591"/>
      <c r="P23" s="591"/>
      <c r="Q23" s="612"/>
    </row>
    <row r="24" spans="1:17" ht="9.75" customHeight="1" x14ac:dyDescent="0.2">
      <c r="A24" s="612"/>
      <c r="B24" s="571"/>
      <c r="C24" s="613"/>
      <c r="D24" s="614"/>
      <c r="E24" s="578"/>
      <c r="F24" s="578"/>
      <c r="G24" s="578"/>
      <c r="H24" s="578"/>
      <c r="I24" s="578"/>
      <c r="J24" s="596"/>
      <c r="K24" s="597"/>
      <c r="L24" s="591"/>
      <c r="M24" s="591"/>
      <c r="N24" s="591"/>
      <c r="O24" s="591"/>
      <c r="P24" s="591"/>
      <c r="Q24" s="612"/>
    </row>
    <row r="25" spans="1:17" ht="12" customHeight="1" x14ac:dyDescent="0.2">
      <c r="A25" s="612"/>
      <c r="B25" s="571"/>
      <c r="C25" s="613"/>
      <c r="D25" s="38" t="s">
        <v>5</v>
      </c>
      <c r="E25" s="184">
        <f>SUM(F25:J25)</f>
        <v>978</v>
      </c>
      <c r="F25" s="184">
        <f>SUM(F19)</f>
        <v>240</v>
      </c>
      <c r="G25" s="210">
        <f>SUM(G19)</f>
        <v>138</v>
      </c>
      <c r="H25" s="184">
        <f>SUM(H19)</f>
        <v>200</v>
      </c>
      <c r="I25" s="184">
        <f>SUM(I19)</f>
        <v>200</v>
      </c>
      <c r="J25" s="43">
        <f>SUM(J19)</f>
        <v>200</v>
      </c>
      <c r="K25" s="597"/>
      <c r="L25" s="591"/>
      <c r="M25" s="591"/>
      <c r="N25" s="591"/>
      <c r="O25" s="591"/>
      <c r="P25" s="591"/>
      <c r="Q25" s="612"/>
    </row>
    <row r="26" spans="1:17" ht="11.25" customHeight="1" thickBot="1" x14ac:dyDescent="0.25">
      <c r="A26" s="612"/>
      <c r="B26" s="571"/>
      <c r="C26" s="613"/>
      <c r="D26" s="39" t="s">
        <v>6</v>
      </c>
      <c r="E26" s="44">
        <f>SUM(F26:J26)</f>
        <v>0</v>
      </c>
      <c r="F26" s="44">
        <v>0</v>
      </c>
      <c r="G26" s="44">
        <v>0</v>
      </c>
      <c r="H26" s="44">
        <v>0</v>
      </c>
      <c r="I26" s="44">
        <v>0</v>
      </c>
      <c r="J26" s="45">
        <v>0</v>
      </c>
      <c r="K26" s="597"/>
      <c r="L26" s="591"/>
      <c r="M26" s="591"/>
      <c r="N26" s="591"/>
      <c r="O26" s="591"/>
      <c r="P26" s="591"/>
      <c r="Q26" s="612"/>
    </row>
    <row r="27" spans="1:17" ht="11.25" customHeight="1" x14ac:dyDescent="0.2">
      <c r="A27" s="8" t="s">
        <v>28</v>
      </c>
      <c r="B27" s="592" t="s">
        <v>81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4"/>
    </row>
    <row r="28" spans="1:17" ht="24.6" customHeight="1" x14ac:dyDescent="0.2">
      <c r="A28" s="582" t="s">
        <v>30</v>
      </c>
      <c r="B28" s="617" t="s">
        <v>47</v>
      </c>
      <c r="C28" s="612" t="s">
        <v>161</v>
      </c>
      <c r="D28" s="197" t="s">
        <v>249</v>
      </c>
      <c r="E28" s="208">
        <f t="shared" ref="E28:J28" si="2">E29</f>
        <v>210</v>
      </c>
      <c r="F28" s="208">
        <f t="shared" si="2"/>
        <v>70</v>
      </c>
      <c r="G28" s="208">
        <f t="shared" si="2"/>
        <v>35</v>
      </c>
      <c r="H28" s="208">
        <f t="shared" si="2"/>
        <v>35</v>
      </c>
      <c r="I28" s="208">
        <f t="shared" si="2"/>
        <v>35</v>
      </c>
      <c r="J28" s="208">
        <f t="shared" si="2"/>
        <v>35</v>
      </c>
      <c r="K28" s="584" t="s">
        <v>256</v>
      </c>
      <c r="L28" s="589" t="s">
        <v>236</v>
      </c>
      <c r="M28" s="589" t="s">
        <v>236</v>
      </c>
      <c r="N28" s="589" t="s">
        <v>236</v>
      </c>
      <c r="O28" s="589" t="s">
        <v>236</v>
      </c>
      <c r="P28" s="589" t="s">
        <v>236</v>
      </c>
      <c r="Q28" s="582" t="s">
        <v>136</v>
      </c>
    </row>
    <row r="29" spans="1:17" ht="16.5" customHeight="1" x14ac:dyDescent="0.2">
      <c r="A29" s="615"/>
      <c r="B29" s="618"/>
      <c r="C29" s="619"/>
      <c r="D29" s="603" t="s">
        <v>5</v>
      </c>
      <c r="E29" s="605">
        <f>SUM(F29:J32)</f>
        <v>210</v>
      </c>
      <c r="F29" s="605">
        <v>70</v>
      </c>
      <c r="G29" s="605">
        <v>35</v>
      </c>
      <c r="H29" s="605">
        <v>35</v>
      </c>
      <c r="I29" s="605">
        <v>35</v>
      </c>
      <c r="J29" s="605">
        <v>35</v>
      </c>
      <c r="K29" s="601"/>
      <c r="L29" s="620"/>
      <c r="M29" s="620"/>
      <c r="N29" s="620"/>
      <c r="O29" s="620"/>
      <c r="P29" s="620"/>
      <c r="Q29" s="615"/>
    </row>
    <row r="30" spans="1:17" ht="2.1" customHeight="1" x14ac:dyDescent="0.2">
      <c r="A30" s="615"/>
      <c r="B30" s="618"/>
      <c r="C30" s="619"/>
      <c r="D30" s="625"/>
      <c r="E30" s="609"/>
      <c r="F30" s="609"/>
      <c r="G30" s="609"/>
      <c r="H30" s="609"/>
      <c r="I30" s="609"/>
      <c r="J30" s="609"/>
      <c r="K30" s="602"/>
      <c r="L30" s="621"/>
      <c r="M30" s="621"/>
      <c r="N30" s="621"/>
      <c r="O30" s="621"/>
      <c r="P30" s="621"/>
      <c r="Q30" s="615"/>
    </row>
    <row r="31" spans="1:17" ht="16.5" customHeight="1" x14ac:dyDescent="0.2">
      <c r="A31" s="615"/>
      <c r="B31" s="618"/>
      <c r="C31" s="619"/>
      <c r="D31" s="625"/>
      <c r="E31" s="609"/>
      <c r="F31" s="609"/>
      <c r="G31" s="609"/>
      <c r="H31" s="609"/>
      <c r="I31" s="609"/>
      <c r="J31" s="609"/>
      <c r="K31" s="622" t="s">
        <v>257</v>
      </c>
      <c r="L31" s="623" t="s">
        <v>236</v>
      </c>
      <c r="M31" s="623" t="s">
        <v>236</v>
      </c>
      <c r="N31" s="623" t="s">
        <v>236</v>
      </c>
      <c r="O31" s="623" t="s">
        <v>236</v>
      </c>
      <c r="P31" s="623" t="s">
        <v>236</v>
      </c>
      <c r="Q31" s="615"/>
    </row>
    <row r="32" spans="1:17" ht="16.5" customHeight="1" thickBot="1" x14ac:dyDescent="0.25">
      <c r="A32" s="616"/>
      <c r="B32" s="618"/>
      <c r="C32" s="619"/>
      <c r="D32" s="625"/>
      <c r="E32" s="609"/>
      <c r="F32" s="609"/>
      <c r="G32" s="609"/>
      <c r="H32" s="609"/>
      <c r="I32" s="609"/>
      <c r="J32" s="609"/>
      <c r="K32" s="622"/>
      <c r="L32" s="624"/>
      <c r="M32" s="624"/>
      <c r="N32" s="624"/>
      <c r="O32" s="624"/>
      <c r="P32" s="624"/>
      <c r="Q32" s="616"/>
    </row>
    <row r="33" spans="1:17" ht="10.5" customHeight="1" x14ac:dyDescent="0.2">
      <c r="A33" s="612"/>
      <c r="B33" s="571" t="s">
        <v>33</v>
      </c>
      <c r="C33" s="613"/>
      <c r="D33" s="575" t="s">
        <v>249</v>
      </c>
      <c r="E33" s="577">
        <f>SUM(F33:J34)</f>
        <v>210</v>
      </c>
      <c r="F33" s="577">
        <f>SUM(F35:F36)</f>
        <v>70</v>
      </c>
      <c r="G33" s="577">
        <f>SUM(G35:G36)</f>
        <v>35</v>
      </c>
      <c r="H33" s="577">
        <f>SUM(H35:H36)</f>
        <v>35</v>
      </c>
      <c r="I33" s="577">
        <f>SUM(I35:I36)</f>
        <v>35</v>
      </c>
      <c r="J33" s="595">
        <f>SUM(J35:J36)</f>
        <v>35</v>
      </c>
      <c r="K33" s="597"/>
      <c r="L33" s="591"/>
      <c r="M33" s="591"/>
      <c r="N33" s="591"/>
      <c r="O33" s="591"/>
      <c r="P33" s="591"/>
      <c r="Q33" s="612"/>
    </row>
    <row r="34" spans="1:17" ht="10.5" customHeight="1" x14ac:dyDescent="0.2">
      <c r="A34" s="612"/>
      <c r="B34" s="571"/>
      <c r="C34" s="613"/>
      <c r="D34" s="614"/>
      <c r="E34" s="578"/>
      <c r="F34" s="578"/>
      <c r="G34" s="578"/>
      <c r="H34" s="578"/>
      <c r="I34" s="578"/>
      <c r="J34" s="596"/>
      <c r="K34" s="597"/>
      <c r="L34" s="591"/>
      <c r="M34" s="591"/>
      <c r="N34" s="591"/>
      <c r="O34" s="591"/>
      <c r="P34" s="591"/>
      <c r="Q34" s="612"/>
    </row>
    <row r="35" spans="1:17" ht="13.5" customHeight="1" x14ac:dyDescent="0.2">
      <c r="A35" s="612"/>
      <c r="B35" s="571"/>
      <c r="C35" s="613"/>
      <c r="D35" s="38" t="s">
        <v>5</v>
      </c>
      <c r="E35" s="184">
        <f>SUM(F35:J35)</f>
        <v>210</v>
      </c>
      <c r="F35" s="184">
        <f>SUM(F29)</f>
        <v>70</v>
      </c>
      <c r="G35" s="184">
        <f>SUM(G29)</f>
        <v>35</v>
      </c>
      <c r="H35" s="184">
        <f>SUM(H29)</f>
        <v>35</v>
      </c>
      <c r="I35" s="184">
        <f>SUM(I29)</f>
        <v>35</v>
      </c>
      <c r="J35" s="43">
        <f>SUM(J29)</f>
        <v>35</v>
      </c>
      <c r="K35" s="597"/>
      <c r="L35" s="591"/>
      <c r="M35" s="591"/>
      <c r="N35" s="591"/>
      <c r="O35" s="591"/>
      <c r="P35" s="591"/>
      <c r="Q35" s="612"/>
    </row>
    <row r="36" spans="1:17" ht="13.5" customHeight="1" thickBot="1" x14ac:dyDescent="0.25">
      <c r="A36" s="612"/>
      <c r="B36" s="571"/>
      <c r="C36" s="613"/>
      <c r="D36" s="39" t="s">
        <v>6</v>
      </c>
      <c r="E36" s="44">
        <f>SUM(F36:J36)</f>
        <v>0</v>
      </c>
      <c r="F36" s="44">
        <f>SUM(F31)</f>
        <v>0</v>
      </c>
      <c r="G36" s="44">
        <f>SUM(G31)</f>
        <v>0</v>
      </c>
      <c r="H36" s="44">
        <f>SUM(H31)</f>
        <v>0</v>
      </c>
      <c r="I36" s="44">
        <f>SUM(I31)</f>
        <v>0</v>
      </c>
      <c r="J36" s="45">
        <f>SUM(J31)</f>
        <v>0</v>
      </c>
      <c r="K36" s="597"/>
      <c r="L36" s="591"/>
      <c r="M36" s="591"/>
      <c r="N36" s="591"/>
      <c r="O36" s="591"/>
      <c r="P36" s="591"/>
      <c r="Q36" s="612"/>
    </row>
    <row r="37" spans="1:17" ht="15.75" customHeight="1" thickBot="1" x14ac:dyDescent="0.25">
      <c r="A37" s="8" t="s">
        <v>34</v>
      </c>
      <c r="B37" s="626" t="s">
        <v>147</v>
      </c>
      <c r="C37" s="627"/>
      <c r="D37" s="593"/>
      <c r="E37" s="593"/>
      <c r="F37" s="593"/>
      <c r="G37" s="593"/>
      <c r="H37" s="593"/>
      <c r="I37" s="593"/>
      <c r="J37" s="593"/>
      <c r="K37" s="627"/>
      <c r="L37" s="627"/>
      <c r="M37" s="627"/>
      <c r="N37" s="627"/>
      <c r="O37" s="627"/>
      <c r="P37" s="627"/>
      <c r="Q37" s="628"/>
    </row>
    <row r="38" spans="1:17" ht="23.45" customHeight="1" x14ac:dyDescent="0.2">
      <c r="A38" s="582" t="s">
        <v>36</v>
      </c>
      <c r="B38" s="617" t="s">
        <v>83</v>
      </c>
      <c r="C38" s="612" t="s">
        <v>161</v>
      </c>
      <c r="D38" s="120" t="s">
        <v>207</v>
      </c>
      <c r="E38" s="208">
        <f t="shared" ref="E38:J38" si="3">SUM(E39:E42)</f>
        <v>1301.9000000000001</v>
      </c>
      <c r="F38" s="208">
        <f t="shared" si="3"/>
        <v>821.9</v>
      </c>
      <c r="G38" s="208">
        <f t="shared" si="3"/>
        <v>300</v>
      </c>
      <c r="H38" s="208">
        <f t="shared" si="3"/>
        <v>60</v>
      </c>
      <c r="I38" s="208">
        <f t="shared" si="3"/>
        <v>60</v>
      </c>
      <c r="J38" s="208">
        <f t="shared" si="3"/>
        <v>60</v>
      </c>
      <c r="K38" s="587" t="s">
        <v>258</v>
      </c>
      <c r="L38" s="196"/>
      <c r="M38" s="196"/>
      <c r="N38" s="196"/>
      <c r="O38" s="196"/>
      <c r="P38" s="196"/>
      <c r="Q38" s="114"/>
    </row>
    <row r="39" spans="1:17" ht="11.25" customHeight="1" x14ac:dyDescent="0.2">
      <c r="A39" s="615"/>
      <c r="B39" s="618"/>
      <c r="C39" s="619"/>
      <c r="D39" s="631" t="s">
        <v>212</v>
      </c>
      <c r="E39" s="605">
        <f>SUM(F39:J40)</f>
        <v>546.5</v>
      </c>
      <c r="F39" s="605">
        <f>SUM(F47,F44,F50)</f>
        <v>356.5</v>
      </c>
      <c r="G39" s="605">
        <f>SUM(G47,G44,G50)</f>
        <v>100</v>
      </c>
      <c r="H39" s="605">
        <f>SUM(H47,H44,H50)</f>
        <v>30</v>
      </c>
      <c r="I39" s="605">
        <f>SUM(I47,I44,I50)</f>
        <v>30</v>
      </c>
      <c r="J39" s="605">
        <f>SUM(J47,J44,J50)</f>
        <v>30</v>
      </c>
      <c r="K39" s="629"/>
      <c r="L39" s="633">
        <v>100</v>
      </c>
      <c r="M39" s="633">
        <v>100</v>
      </c>
      <c r="N39" s="633">
        <v>100</v>
      </c>
      <c r="O39" s="633">
        <v>100</v>
      </c>
      <c r="P39" s="633">
        <v>100</v>
      </c>
      <c r="Q39" s="635" t="s">
        <v>132</v>
      </c>
    </row>
    <row r="40" spans="1:17" ht="6" customHeight="1" x14ac:dyDescent="0.2">
      <c r="A40" s="615"/>
      <c r="B40" s="618"/>
      <c r="C40" s="619"/>
      <c r="D40" s="632"/>
      <c r="E40" s="606"/>
      <c r="F40" s="606"/>
      <c r="G40" s="606"/>
      <c r="H40" s="606"/>
      <c r="I40" s="606"/>
      <c r="J40" s="606"/>
      <c r="K40" s="629"/>
      <c r="L40" s="634"/>
      <c r="M40" s="634"/>
      <c r="N40" s="634"/>
      <c r="O40" s="634"/>
      <c r="P40" s="634"/>
      <c r="Q40" s="636"/>
    </row>
    <row r="41" spans="1:17" ht="11.25" customHeight="1" x14ac:dyDescent="0.2">
      <c r="A41" s="615"/>
      <c r="B41" s="618"/>
      <c r="C41" s="619"/>
      <c r="D41" s="632"/>
      <c r="E41" s="605">
        <f>SUM(F41:J42)</f>
        <v>755.4</v>
      </c>
      <c r="F41" s="610">
        <f>SUM(F48,F45,F51)</f>
        <v>465.4</v>
      </c>
      <c r="G41" s="611">
        <f>SUM(G48,G45,G51)</f>
        <v>200</v>
      </c>
      <c r="H41" s="611">
        <f>SUM(H48,H45,H51)</f>
        <v>30</v>
      </c>
      <c r="I41" s="611">
        <f>SUM(I48,I45,I51)</f>
        <v>30</v>
      </c>
      <c r="J41" s="611">
        <f>SUM(J48,J45,J51)</f>
        <v>30</v>
      </c>
      <c r="K41" s="629"/>
      <c r="L41" s="633">
        <v>100</v>
      </c>
      <c r="M41" s="633">
        <v>100</v>
      </c>
      <c r="N41" s="633">
        <v>100</v>
      </c>
      <c r="O41" s="633">
        <v>100</v>
      </c>
      <c r="P41" s="633">
        <v>100</v>
      </c>
      <c r="Q41" s="638" t="s">
        <v>131</v>
      </c>
    </row>
    <row r="42" spans="1:17" ht="6" customHeight="1" x14ac:dyDescent="0.2">
      <c r="A42" s="616"/>
      <c r="B42" s="618"/>
      <c r="C42" s="619"/>
      <c r="D42" s="632"/>
      <c r="E42" s="609"/>
      <c r="F42" s="611"/>
      <c r="G42" s="637"/>
      <c r="H42" s="637"/>
      <c r="I42" s="637"/>
      <c r="J42" s="637"/>
      <c r="K42" s="630"/>
      <c r="L42" s="634"/>
      <c r="M42" s="634"/>
      <c r="N42" s="634"/>
      <c r="O42" s="634"/>
      <c r="P42" s="634"/>
      <c r="Q42" s="638"/>
    </row>
    <row r="43" spans="1:17" ht="20.45" customHeight="1" x14ac:dyDescent="0.2">
      <c r="A43" s="582" t="s">
        <v>82</v>
      </c>
      <c r="B43" s="584" t="s">
        <v>84</v>
      </c>
      <c r="C43" s="642" t="s">
        <v>161</v>
      </c>
      <c r="D43" s="119" t="s">
        <v>207</v>
      </c>
      <c r="E43" s="34">
        <f t="shared" ref="E43:J43" si="4">SUM(E44:E45)</f>
        <v>0</v>
      </c>
      <c r="F43" s="34">
        <f t="shared" si="4"/>
        <v>0</v>
      </c>
      <c r="G43" s="34">
        <f t="shared" si="4"/>
        <v>0</v>
      </c>
      <c r="H43" s="34">
        <f t="shared" si="4"/>
        <v>0</v>
      </c>
      <c r="I43" s="34">
        <f t="shared" si="4"/>
        <v>0</v>
      </c>
      <c r="J43" s="34">
        <f t="shared" si="4"/>
        <v>0</v>
      </c>
      <c r="K43" s="639" t="s">
        <v>258</v>
      </c>
      <c r="L43" s="206"/>
      <c r="M43" s="206"/>
      <c r="N43" s="206"/>
      <c r="O43" s="206"/>
      <c r="P43" s="206"/>
      <c r="Q43" s="199"/>
    </row>
    <row r="44" spans="1:17" ht="22.5" customHeight="1" x14ac:dyDescent="0.2">
      <c r="A44" s="615"/>
      <c r="B44" s="607"/>
      <c r="C44" s="588"/>
      <c r="D44" s="186" t="s">
        <v>5</v>
      </c>
      <c r="E44" s="195">
        <f t="shared" ref="E44:E51" si="5">SUM(F44:J44)</f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640"/>
      <c r="L44" s="206">
        <v>0</v>
      </c>
      <c r="M44" s="206">
        <v>0</v>
      </c>
      <c r="N44" s="206">
        <v>0</v>
      </c>
      <c r="O44" s="206">
        <v>0</v>
      </c>
      <c r="P44" s="206">
        <v>0</v>
      </c>
      <c r="Q44" s="115" t="s">
        <v>129</v>
      </c>
    </row>
    <row r="45" spans="1:17" ht="22.5" customHeight="1" x14ac:dyDescent="0.2">
      <c r="A45" s="616"/>
      <c r="B45" s="608"/>
      <c r="C45" s="643"/>
      <c r="D45" s="183" t="s">
        <v>5</v>
      </c>
      <c r="E45" s="195">
        <f t="shared" si="5"/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641"/>
      <c r="L45" s="206">
        <v>0</v>
      </c>
      <c r="M45" s="206">
        <v>0</v>
      </c>
      <c r="N45" s="206">
        <v>0</v>
      </c>
      <c r="O45" s="206">
        <v>0</v>
      </c>
      <c r="P45" s="206">
        <v>0</v>
      </c>
      <c r="Q45" s="115" t="s">
        <v>130</v>
      </c>
    </row>
    <row r="46" spans="1:17" ht="22.5" customHeight="1" x14ac:dyDescent="0.2">
      <c r="A46" s="582" t="s">
        <v>85</v>
      </c>
      <c r="B46" s="584" t="s">
        <v>86</v>
      </c>
      <c r="C46" s="642" t="s">
        <v>161</v>
      </c>
      <c r="D46" s="119" t="s">
        <v>207</v>
      </c>
      <c r="E46" s="198">
        <f t="shared" ref="E46:J46" si="6">SUM(E47:E48)</f>
        <v>242.9</v>
      </c>
      <c r="F46" s="198">
        <f t="shared" si="6"/>
        <v>62.9</v>
      </c>
      <c r="G46" s="198">
        <f t="shared" si="6"/>
        <v>0</v>
      </c>
      <c r="H46" s="198">
        <f t="shared" si="6"/>
        <v>60</v>
      </c>
      <c r="I46" s="198">
        <f t="shared" si="6"/>
        <v>60</v>
      </c>
      <c r="J46" s="198">
        <f t="shared" si="6"/>
        <v>60</v>
      </c>
      <c r="K46" s="639" t="s">
        <v>258</v>
      </c>
      <c r="L46" s="206"/>
      <c r="M46" s="206"/>
      <c r="N46" s="206"/>
      <c r="O46" s="206"/>
      <c r="P46" s="206"/>
      <c r="Q46" s="115"/>
    </row>
    <row r="47" spans="1:17" ht="22.5" customHeight="1" x14ac:dyDescent="0.2">
      <c r="A47" s="615"/>
      <c r="B47" s="607"/>
      <c r="C47" s="588"/>
      <c r="D47" s="186" t="s">
        <v>5</v>
      </c>
      <c r="E47" s="195">
        <f t="shared" si="5"/>
        <v>121.5</v>
      </c>
      <c r="F47" s="180">
        <v>31.5</v>
      </c>
      <c r="G47" s="184">
        <f>30-30</f>
        <v>0</v>
      </c>
      <c r="H47" s="184">
        <v>30</v>
      </c>
      <c r="I47" s="184">
        <v>30</v>
      </c>
      <c r="J47" s="184">
        <v>30</v>
      </c>
      <c r="K47" s="640"/>
      <c r="L47" s="206">
        <v>100</v>
      </c>
      <c r="M47" s="206">
        <v>0</v>
      </c>
      <c r="N47" s="206">
        <v>100</v>
      </c>
      <c r="O47" s="206">
        <v>100</v>
      </c>
      <c r="P47" s="206">
        <v>100</v>
      </c>
      <c r="Q47" s="115" t="s">
        <v>129</v>
      </c>
    </row>
    <row r="48" spans="1:17" ht="22.5" customHeight="1" x14ac:dyDescent="0.2">
      <c r="A48" s="616"/>
      <c r="B48" s="608"/>
      <c r="C48" s="643"/>
      <c r="D48" s="183" t="s">
        <v>5</v>
      </c>
      <c r="E48" s="195">
        <f t="shared" si="5"/>
        <v>121.4</v>
      </c>
      <c r="F48" s="184">
        <v>31.4</v>
      </c>
      <c r="G48" s="184">
        <f>30-30</f>
        <v>0</v>
      </c>
      <c r="H48" s="184">
        <v>30</v>
      </c>
      <c r="I48" s="184">
        <v>30</v>
      </c>
      <c r="J48" s="184">
        <v>30</v>
      </c>
      <c r="K48" s="641"/>
      <c r="L48" s="206">
        <v>100</v>
      </c>
      <c r="M48" s="206">
        <v>0</v>
      </c>
      <c r="N48" s="206">
        <v>100</v>
      </c>
      <c r="O48" s="206">
        <v>100</v>
      </c>
      <c r="P48" s="206">
        <v>100</v>
      </c>
      <c r="Q48" s="115" t="s">
        <v>130</v>
      </c>
    </row>
    <row r="49" spans="1:17" ht="22.5" customHeight="1" x14ac:dyDescent="0.2">
      <c r="A49" s="582" t="s">
        <v>138</v>
      </c>
      <c r="B49" s="584" t="s">
        <v>139</v>
      </c>
      <c r="C49" s="642" t="s">
        <v>161</v>
      </c>
      <c r="D49" s="119" t="s">
        <v>207</v>
      </c>
      <c r="E49" s="34">
        <f t="shared" ref="E49:J49" si="7">SUM(E50:E51)</f>
        <v>1059</v>
      </c>
      <c r="F49" s="34">
        <f t="shared" si="7"/>
        <v>759</v>
      </c>
      <c r="G49" s="34">
        <f t="shared" si="7"/>
        <v>300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639" t="s">
        <v>258</v>
      </c>
      <c r="L49" s="206"/>
      <c r="M49" s="206"/>
      <c r="N49" s="206"/>
      <c r="O49" s="206"/>
      <c r="P49" s="206"/>
      <c r="Q49" s="115"/>
    </row>
    <row r="50" spans="1:17" ht="21.75" customHeight="1" x14ac:dyDescent="0.2">
      <c r="A50" s="615"/>
      <c r="B50" s="607"/>
      <c r="C50" s="588"/>
      <c r="D50" s="183" t="s">
        <v>5</v>
      </c>
      <c r="E50" s="187">
        <f t="shared" si="5"/>
        <v>425</v>
      </c>
      <c r="F50" s="190">
        <v>325</v>
      </c>
      <c r="G50" s="190">
        <v>100</v>
      </c>
      <c r="H50" s="190">
        <v>0</v>
      </c>
      <c r="I50" s="190">
        <v>0</v>
      </c>
      <c r="J50" s="190">
        <v>0</v>
      </c>
      <c r="K50" s="640"/>
      <c r="L50" s="206">
        <v>100</v>
      </c>
      <c r="M50" s="206">
        <v>100</v>
      </c>
      <c r="N50" s="206">
        <v>0</v>
      </c>
      <c r="O50" s="206">
        <v>0</v>
      </c>
      <c r="P50" s="206">
        <v>0</v>
      </c>
      <c r="Q50" s="115" t="s">
        <v>129</v>
      </c>
    </row>
    <row r="51" spans="1:17" ht="21.75" customHeight="1" x14ac:dyDescent="0.2">
      <c r="A51" s="616"/>
      <c r="B51" s="608"/>
      <c r="C51" s="643"/>
      <c r="D51" s="183" t="s">
        <v>5</v>
      </c>
      <c r="E51" s="187">
        <f t="shared" si="5"/>
        <v>634</v>
      </c>
      <c r="F51" s="190">
        <v>434</v>
      </c>
      <c r="G51" s="190">
        <v>200</v>
      </c>
      <c r="H51" s="190">
        <v>0</v>
      </c>
      <c r="I51" s="190">
        <v>0</v>
      </c>
      <c r="J51" s="190">
        <v>0</v>
      </c>
      <c r="K51" s="641"/>
      <c r="L51" s="206">
        <v>100</v>
      </c>
      <c r="M51" s="206">
        <v>100</v>
      </c>
      <c r="N51" s="206">
        <v>0</v>
      </c>
      <c r="O51" s="206">
        <v>0</v>
      </c>
      <c r="P51" s="206">
        <v>0</v>
      </c>
      <c r="Q51" s="115" t="s">
        <v>130</v>
      </c>
    </row>
    <row r="52" spans="1:17" ht="6.75" customHeight="1" x14ac:dyDescent="0.2">
      <c r="A52" s="582" t="s">
        <v>64</v>
      </c>
      <c r="B52" s="584" t="s">
        <v>89</v>
      </c>
      <c r="C52" s="642" t="s">
        <v>161</v>
      </c>
      <c r="D52" s="647" t="s">
        <v>259</v>
      </c>
      <c r="E52" s="649">
        <v>920.1</v>
      </c>
      <c r="F52" s="649">
        <f>SUM(F58,F60,F63)</f>
        <v>260.8</v>
      </c>
      <c r="G52" s="649">
        <f>SUM(G55:G56)</f>
        <v>419.3</v>
      </c>
      <c r="H52" s="649">
        <f>SUM(H55:H56)</f>
        <v>80</v>
      </c>
      <c r="I52" s="649">
        <f>SUM(I55:I56)</f>
        <v>80</v>
      </c>
      <c r="J52" s="649">
        <f>SUM(J55:J56)</f>
        <v>80</v>
      </c>
      <c r="K52" s="587"/>
      <c r="L52" s="623"/>
      <c r="M52" s="623"/>
      <c r="N52" s="623"/>
      <c r="O52" s="623"/>
      <c r="P52" s="623"/>
      <c r="Q52" s="638"/>
    </row>
    <row r="53" spans="1:17" ht="6.75" customHeight="1" x14ac:dyDescent="0.2">
      <c r="A53" s="661"/>
      <c r="B53" s="644"/>
      <c r="C53" s="583"/>
      <c r="D53" s="648"/>
      <c r="E53" s="650"/>
      <c r="F53" s="650"/>
      <c r="G53" s="650"/>
      <c r="H53" s="650"/>
      <c r="I53" s="650"/>
      <c r="J53" s="650"/>
      <c r="K53" s="629"/>
      <c r="L53" s="624"/>
      <c r="M53" s="624"/>
      <c r="N53" s="624"/>
      <c r="O53" s="624"/>
      <c r="P53" s="624"/>
      <c r="Q53" s="652"/>
    </row>
    <row r="54" spans="1:17" ht="6.75" customHeight="1" x14ac:dyDescent="0.2">
      <c r="A54" s="661"/>
      <c r="B54" s="644"/>
      <c r="C54" s="583"/>
      <c r="D54" s="648"/>
      <c r="E54" s="651"/>
      <c r="F54" s="651"/>
      <c r="G54" s="651"/>
      <c r="H54" s="651"/>
      <c r="I54" s="651"/>
      <c r="J54" s="651"/>
      <c r="K54" s="629"/>
      <c r="L54" s="624"/>
      <c r="M54" s="624"/>
      <c r="N54" s="624"/>
      <c r="O54" s="624"/>
      <c r="P54" s="624"/>
      <c r="Q54" s="652"/>
    </row>
    <row r="55" spans="1:17" ht="17.25" customHeight="1" x14ac:dyDescent="0.2">
      <c r="A55" s="661"/>
      <c r="B55" s="644"/>
      <c r="C55" s="583"/>
      <c r="D55" s="186" t="s">
        <v>5</v>
      </c>
      <c r="E55" s="189">
        <v>600.79999999999995</v>
      </c>
      <c r="F55" s="189">
        <f>F52</f>
        <v>260.8</v>
      </c>
      <c r="G55" s="189">
        <f>SUM(G58,G60,G63)</f>
        <v>100</v>
      </c>
      <c r="H55" s="189">
        <f>H60</f>
        <v>80</v>
      </c>
      <c r="I55" s="189">
        <f>I60</f>
        <v>80</v>
      </c>
      <c r="J55" s="189">
        <f>J60</f>
        <v>80</v>
      </c>
      <c r="K55" s="629"/>
      <c r="L55" s="624"/>
      <c r="M55" s="624"/>
      <c r="N55" s="624"/>
      <c r="O55" s="624"/>
      <c r="P55" s="624"/>
      <c r="Q55" s="652"/>
    </row>
    <row r="56" spans="1:17" ht="17.25" customHeight="1" x14ac:dyDescent="0.2">
      <c r="A56" s="654"/>
      <c r="B56" s="645"/>
      <c r="C56" s="646"/>
      <c r="D56" s="184" t="s">
        <v>6</v>
      </c>
      <c r="E56" s="184">
        <f t="shared" ref="E56:J56" si="8">E66</f>
        <v>319.3</v>
      </c>
      <c r="F56" s="184">
        <f t="shared" si="8"/>
        <v>0</v>
      </c>
      <c r="G56" s="184">
        <f t="shared" si="8"/>
        <v>319.3</v>
      </c>
      <c r="H56" s="184">
        <f t="shared" si="8"/>
        <v>0</v>
      </c>
      <c r="I56" s="184">
        <f t="shared" si="8"/>
        <v>0</v>
      </c>
      <c r="J56" s="184">
        <f t="shared" si="8"/>
        <v>0</v>
      </c>
      <c r="K56" s="630"/>
      <c r="L56" s="624"/>
      <c r="M56" s="624"/>
      <c r="N56" s="624"/>
      <c r="O56" s="624"/>
      <c r="P56" s="624"/>
      <c r="Q56" s="652"/>
    </row>
    <row r="57" spans="1:17" ht="25.35" customHeight="1" x14ac:dyDescent="0.2">
      <c r="A57" s="582" t="s">
        <v>87</v>
      </c>
      <c r="B57" s="584" t="s">
        <v>84</v>
      </c>
      <c r="C57" s="642" t="s">
        <v>161</v>
      </c>
      <c r="D57" s="137" t="s">
        <v>207</v>
      </c>
      <c r="E57" s="182">
        <f t="shared" ref="E57:J57" si="9">E58</f>
        <v>104.4</v>
      </c>
      <c r="F57" s="182">
        <f t="shared" si="9"/>
        <v>104.4</v>
      </c>
      <c r="G57" s="182">
        <f t="shared" si="9"/>
        <v>0</v>
      </c>
      <c r="H57" s="182">
        <f t="shared" si="9"/>
        <v>0</v>
      </c>
      <c r="I57" s="182">
        <f t="shared" si="9"/>
        <v>0</v>
      </c>
      <c r="J57" s="182">
        <f t="shared" si="9"/>
        <v>0</v>
      </c>
      <c r="K57" s="579" t="s">
        <v>261</v>
      </c>
      <c r="L57" s="623" t="s">
        <v>236</v>
      </c>
      <c r="M57" s="623" t="s">
        <v>213</v>
      </c>
      <c r="N57" s="623" t="s">
        <v>213</v>
      </c>
      <c r="O57" s="623" t="s">
        <v>213</v>
      </c>
      <c r="P57" s="623" t="s">
        <v>213</v>
      </c>
      <c r="Q57" s="656" t="s">
        <v>51</v>
      </c>
    </row>
    <row r="58" spans="1:17" ht="11.25" customHeight="1" x14ac:dyDescent="0.2">
      <c r="A58" s="653"/>
      <c r="B58" s="655"/>
      <c r="C58" s="583"/>
      <c r="D58" s="603" t="s">
        <v>5</v>
      </c>
      <c r="E58" s="609">
        <f>SUM(F58:J59)</f>
        <v>104.4</v>
      </c>
      <c r="F58" s="658">
        <v>104.4</v>
      </c>
      <c r="G58" s="660">
        <v>0</v>
      </c>
      <c r="H58" s="660">
        <v>0</v>
      </c>
      <c r="I58" s="660">
        <v>0</v>
      </c>
      <c r="J58" s="660">
        <v>0</v>
      </c>
      <c r="K58" s="579"/>
      <c r="L58" s="624"/>
      <c r="M58" s="624"/>
      <c r="N58" s="624"/>
      <c r="O58" s="624"/>
      <c r="P58" s="624"/>
      <c r="Q58" s="657"/>
    </row>
    <row r="59" spans="1:17" ht="12.75" customHeight="1" x14ac:dyDescent="0.2">
      <c r="A59" s="654"/>
      <c r="B59" s="645"/>
      <c r="C59" s="646"/>
      <c r="D59" s="625"/>
      <c r="E59" s="606"/>
      <c r="F59" s="659"/>
      <c r="G59" s="637"/>
      <c r="H59" s="637"/>
      <c r="I59" s="637"/>
      <c r="J59" s="637"/>
      <c r="K59" s="579"/>
      <c r="L59" s="624"/>
      <c r="M59" s="624"/>
      <c r="N59" s="624"/>
      <c r="O59" s="624"/>
      <c r="P59" s="624"/>
      <c r="Q59" s="657"/>
    </row>
    <row r="60" spans="1:17" ht="23.1" customHeight="1" x14ac:dyDescent="0.2">
      <c r="A60" s="582" t="s">
        <v>88</v>
      </c>
      <c r="B60" s="584" t="s">
        <v>86</v>
      </c>
      <c r="C60" s="642" t="s">
        <v>161</v>
      </c>
      <c r="D60" s="119" t="s">
        <v>207</v>
      </c>
      <c r="E60" s="181">
        <f t="shared" ref="E60:J60" si="10">E61</f>
        <v>332.8</v>
      </c>
      <c r="F60" s="181">
        <f t="shared" si="10"/>
        <v>92.8</v>
      </c>
      <c r="G60" s="181">
        <f t="shared" si="10"/>
        <v>0</v>
      </c>
      <c r="H60" s="181">
        <f t="shared" si="10"/>
        <v>80</v>
      </c>
      <c r="I60" s="181">
        <f t="shared" si="10"/>
        <v>80</v>
      </c>
      <c r="J60" s="181">
        <f t="shared" si="10"/>
        <v>80</v>
      </c>
      <c r="K60" s="579" t="s">
        <v>261</v>
      </c>
      <c r="L60" s="623" t="s">
        <v>236</v>
      </c>
      <c r="M60" s="623" t="s">
        <v>213</v>
      </c>
      <c r="N60" s="623" t="s">
        <v>236</v>
      </c>
      <c r="O60" s="623" t="s">
        <v>236</v>
      </c>
      <c r="P60" s="623" t="s">
        <v>236</v>
      </c>
      <c r="Q60" s="656" t="s">
        <v>51</v>
      </c>
    </row>
    <row r="61" spans="1:17" ht="12" customHeight="1" x14ac:dyDescent="0.2">
      <c r="A61" s="653"/>
      <c r="B61" s="655"/>
      <c r="C61" s="583"/>
      <c r="D61" s="591" t="s">
        <v>5</v>
      </c>
      <c r="E61" s="605">
        <f>SUM(F61:J62)</f>
        <v>332.8</v>
      </c>
      <c r="F61" s="662">
        <v>92.8</v>
      </c>
      <c r="G61" s="611">
        <f>80-80</f>
        <v>0</v>
      </c>
      <c r="H61" s="611">
        <v>80</v>
      </c>
      <c r="I61" s="611">
        <v>80</v>
      </c>
      <c r="J61" s="611">
        <v>80</v>
      </c>
      <c r="K61" s="579"/>
      <c r="L61" s="624"/>
      <c r="M61" s="624"/>
      <c r="N61" s="624"/>
      <c r="O61" s="624"/>
      <c r="P61" s="624"/>
      <c r="Q61" s="657"/>
    </row>
    <row r="62" spans="1:17" ht="12.75" customHeight="1" x14ac:dyDescent="0.2">
      <c r="A62" s="654"/>
      <c r="B62" s="645"/>
      <c r="C62" s="646"/>
      <c r="D62" s="591"/>
      <c r="E62" s="606"/>
      <c r="F62" s="659"/>
      <c r="G62" s="637"/>
      <c r="H62" s="637"/>
      <c r="I62" s="637"/>
      <c r="J62" s="637"/>
      <c r="K62" s="579"/>
      <c r="L62" s="624"/>
      <c r="M62" s="624"/>
      <c r="N62" s="624"/>
      <c r="O62" s="624"/>
      <c r="P62" s="624"/>
      <c r="Q62" s="657"/>
    </row>
    <row r="63" spans="1:17" ht="21.6" customHeight="1" x14ac:dyDescent="0.2">
      <c r="A63" s="582" t="s">
        <v>140</v>
      </c>
      <c r="B63" s="584" t="s">
        <v>139</v>
      </c>
      <c r="C63" s="642" t="s">
        <v>161</v>
      </c>
      <c r="D63" s="119" t="s">
        <v>207</v>
      </c>
      <c r="E63" s="198">
        <f t="shared" ref="E63:J63" si="11">E64</f>
        <v>163.6</v>
      </c>
      <c r="F63" s="198">
        <f t="shared" si="11"/>
        <v>63.6</v>
      </c>
      <c r="G63" s="198">
        <f>G64</f>
        <v>100</v>
      </c>
      <c r="H63" s="198">
        <f t="shared" si="11"/>
        <v>0</v>
      </c>
      <c r="I63" s="198">
        <f t="shared" si="11"/>
        <v>0</v>
      </c>
      <c r="J63" s="198">
        <f t="shared" si="11"/>
        <v>0</v>
      </c>
      <c r="K63" s="587" t="s">
        <v>261</v>
      </c>
      <c r="L63" s="589" t="s">
        <v>236</v>
      </c>
      <c r="M63" s="589" t="s">
        <v>236</v>
      </c>
      <c r="N63" s="589" t="s">
        <v>213</v>
      </c>
      <c r="O63" s="589" t="s">
        <v>213</v>
      </c>
      <c r="P63" s="589" t="s">
        <v>213</v>
      </c>
      <c r="Q63" s="582" t="s">
        <v>51</v>
      </c>
    </row>
    <row r="64" spans="1:17" ht="13.5" customHeight="1" x14ac:dyDescent="0.2">
      <c r="A64" s="663"/>
      <c r="B64" s="663"/>
      <c r="C64" s="663"/>
      <c r="D64" s="191" t="s">
        <v>5</v>
      </c>
      <c r="E64" s="189">
        <f>SUM(F64:J64)</f>
        <v>163.6</v>
      </c>
      <c r="F64" s="192">
        <v>63.6</v>
      </c>
      <c r="G64" s="192">
        <v>100</v>
      </c>
      <c r="H64" s="192">
        <v>0</v>
      </c>
      <c r="I64" s="192">
        <v>0</v>
      </c>
      <c r="J64" s="192">
        <v>0</v>
      </c>
      <c r="K64" s="663"/>
      <c r="L64" s="663"/>
      <c r="M64" s="664"/>
      <c r="N64" s="663"/>
      <c r="O64" s="664"/>
      <c r="P64" s="664"/>
      <c r="Q64" s="663"/>
    </row>
    <row r="65" spans="1:18" ht="67.5" customHeight="1" x14ac:dyDescent="0.2">
      <c r="A65" s="205" t="s">
        <v>292</v>
      </c>
      <c r="B65" s="140" t="s">
        <v>289</v>
      </c>
      <c r="C65" s="665" t="s">
        <v>161</v>
      </c>
      <c r="D65" s="139" t="s">
        <v>249</v>
      </c>
      <c r="E65" s="198">
        <f t="shared" ref="E65:J65" si="12">E66+E67</f>
        <v>469.3</v>
      </c>
      <c r="F65" s="198">
        <f t="shared" si="12"/>
        <v>0</v>
      </c>
      <c r="G65" s="198">
        <f t="shared" si="12"/>
        <v>469.3</v>
      </c>
      <c r="H65" s="198">
        <f t="shared" si="12"/>
        <v>0</v>
      </c>
      <c r="I65" s="198">
        <f t="shared" si="12"/>
        <v>0</v>
      </c>
      <c r="J65" s="198">
        <f t="shared" si="12"/>
        <v>0</v>
      </c>
      <c r="K65" s="667" t="s">
        <v>291</v>
      </c>
      <c r="L65" s="603">
        <v>0</v>
      </c>
      <c r="M65" s="603">
        <v>100</v>
      </c>
      <c r="N65" s="603">
        <v>0</v>
      </c>
      <c r="O65" s="603">
        <v>0</v>
      </c>
      <c r="P65" s="603">
        <v>0</v>
      </c>
      <c r="Q65" s="603" t="s">
        <v>51</v>
      </c>
    </row>
    <row r="66" spans="1:18" ht="103.5" customHeight="1" x14ac:dyDescent="0.2">
      <c r="A66" s="205" t="s">
        <v>293</v>
      </c>
      <c r="B66" s="200" t="s">
        <v>290</v>
      </c>
      <c r="C66" s="585"/>
      <c r="D66" s="186" t="s">
        <v>6</v>
      </c>
      <c r="E66" s="195">
        <f>F66+G66+H66+I66+J66</f>
        <v>319.3</v>
      </c>
      <c r="F66" s="195">
        <v>0</v>
      </c>
      <c r="G66" s="195">
        <v>319.3</v>
      </c>
      <c r="H66" s="195">
        <v>0</v>
      </c>
      <c r="I66" s="195">
        <v>0</v>
      </c>
      <c r="J66" s="195">
        <v>0</v>
      </c>
      <c r="K66" s="668"/>
      <c r="L66" s="590"/>
      <c r="M66" s="590"/>
      <c r="N66" s="590"/>
      <c r="O66" s="590"/>
      <c r="P66" s="590"/>
      <c r="Q66" s="590"/>
    </row>
    <row r="67" spans="1:18" ht="24" customHeight="1" x14ac:dyDescent="0.2">
      <c r="A67" s="185" t="s">
        <v>294</v>
      </c>
      <c r="B67" s="200" t="s">
        <v>204</v>
      </c>
      <c r="C67" s="666"/>
      <c r="D67" s="186" t="s">
        <v>5</v>
      </c>
      <c r="E67" s="195">
        <f>F67+G67+H67+I67+J67</f>
        <v>150</v>
      </c>
      <c r="F67" s="195">
        <v>0</v>
      </c>
      <c r="G67" s="327">
        <v>150</v>
      </c>
      <c r="H67" s="195">
        <v>0</v>
      </c>
      <c r="I67" s="195">
        <v>0</v>
      </c>
      <c r="J67" s="195">
        <v>0</v>
      </c>
      <c r="K67" s="669"/>
      <c r="L67" s="670"/>
      <c r="M67" s="670"/>
      <c r="N67" s="670"/>
      <c r="O67" s="670"/>
      <c r="P67" s="670"/>
      <c r="Q67" s="670"/>
      <c r="R67" s="1">
        <v>150</v>
      </c>
    </row>
    <row r="68" spans="1:18" ht="6.75" customHeight="1" x14ac:dyDescent="0.2">
      <c r="A68" s="582" t="s">
        <v>90</v>
      </c>
      <c r="B68" s="584" t="s">
        <v>92</v>
      </c>
      <c r="C68" s="642" t="s">
        <v>161</v>
      </c>
      <c r="D68" s="671" t="s">
        <v>224</v>
      </c>
      <c r="E68" s="674">
        <f>SUM(F68:J71)</f>
        <v>880.8</v>
      </c>
      <c r="F68" s="674">
        <f>SUM(F75,F78,F79)</f>
        <v>800.8</v>
      </c>
      <c r="G68" s="674">
        <f>SUM(G75,G78)</f>
        <v>20</v>
      </c>
      <c r="H68" s="674">
        <f>SUM(H75,H78)</f>
        <v>20</v>
      </c>
      <c r="I68" s="674">
        <f>SUM(I75,I78)</f>
        <v>20</v>
      </c>
      <c r="J68" s="674">
        <f>SUM(J75,J78)</f>
        <v>20</v>
      </c>
      <c r="K68" s="622"/>
      <c r="L68" s="623"/>
      <c r="M68" s="623"/>
      <c r="N68" s="623"/>
      <c r="O68" s="623"/>
      <c r="P68" s="623"/>
      <c r="Q68" s="638"/>
    </row>
    <row r="69" spans="1:18" ht="6.75" customHeight="1" x14ac:dyDescent="0.2">
      <c r="A69" s="661"/>
      <c r="B69" s="644"/>
      <c r="C69" s="583"/>
      <c r="D69" s="672"/>
      <c r="E69" s="675"/>
      <c r="F69" s="675"/>
      <c r="G69" s="675"/>
      <c r="H69" s="675"/>
      <c r="I69" s="675"/>
      <c r="J69" s="675"/>
      <c r="K69" s="579"/>
      <c r="L69" s="624"/>
      <c r="M69" s="624"/>
      <c r="N69" s="624"/>
      <c r="O69" s="624"/>
      <c r="P69" s="624"/>
      <c r="Q69" s="652"/>
    </row>
    <row r="70" spans="1:18" ht="10.5" customHeight="1" x14ac:dyDescent="0.2">
      <c r="A70" s="661"/>
      <c r="B70" s="644"/>
      <c r="C70" s="583"/>
      <c r="D70" s="672"/>
      <c r="E70" s="675"/>
      <c r="F70" s="675"/>
      <c r="G70" s="675"/>
      <c r="H70" s="675"/>
      <c r="I70" s="675"/>
      <c r="J70" s="675"/>
      <c r="K70" s="579"/>
      <c r="L70" s="624"/>
      <c r="M70" s="624"/>
      <c r="N70" s="624"/>
      <c r="O70" s="624"/>
      <c r="P70" s="624"/>
      <c r="Q70" s="652"/>
    </row>
    <row r="71" spans="1:18" ht="10.5" customHeight="1" x14ac:dyDescent="0.2">
      <c r="A71" s="661"/>
      <c r="B71" s="644"/>
      <c r="C71" s="583"/>
      <c r="D71" s="673"/>
      <c r="E71" s="676"/>
      <c r="F71" s="676"/>
      <c r="G71" s="676"/>
      <c r="H71" s="676"/>
      <c r="I71" s="676"/>
      <c r="J71" s="676"/>
      <c r="K71" s="579"/>
      <c r="L71" s="624"/>
      <c r="M71" s="624"/>
      <c r="N71" s="624"/>
      <c r="O71" s="624"/>
      <c r="P71" s="624"/>
      <c r="Q71" s="652"/>
    </row>
    <row r="72" spans="1:18" ht="14.25" customHeight="1" x14ac:dyDescent="0.2">
      <c r="A72" s="653"/>
      <c r="B72" s="655"/>
      <c r="C72" s="583"/>
      <c r="D72" s="186" t="s">
        <v>5</v>
      </c>
      <c r="E72" s="134">
        <f>F72+G72+H72+I72+J72</f>
        <v>611.79999999999995</v>
      </c>
      <c r="F72" s="134">
        <f>F75+F78</f>
        <v>531.79999999999995</v>
      </c>
      <c r="G72" s="134">
        <f>G68</f>
        <v>20</v>
      </c>
      <c r="H72" s="134">
        <f>H68</f>
        <v>20</v>
      </c>
      <c r="I72" s="134">
        <f>I68</f>
        <v>20</v>
      </c>
      <c r="J72" s="134">
        <f>J68</f>
        <v>20</v>
      </c>
      <c r="K72" s="579"/>
      <c r="L72" s="624"/>
      <c r="M72" s="624"/>
      <c r="N72" s="624"/>
      <c r="O72" s="624"/>
      <c r="P72" s="624"/>
      <c r="Q72" s="652"/>
    </row>
    <row r="73" spans="1:18" ht="12" customHeight="1" x14ac:dyDescent="0.2">
      <c r="A73" s="654"/>
      <c r="B73" s="645"/>
      <c r="C73" s="646"/>
      <c r="D73" s="186" t="s">
        <v>6</v>
      </c>
      <c r="E73" s="134">
        <f t="shared" ref="E73:J73" si="13">E79</f>
        <v>269</v>
      </c>
      <c r="F73" s="134">
        <f t="shared" si="13"/>
        <v>269</v>
      </c>
      <c r="G73" s="134">
        <f t="shared" si="13"/>
        <v>0</v>
      </c>
      <c r="H73" s="134">
        <f t="shared" si="13"/>
        <v>0</v>
      </c>
      <c r="I73" s="134">
        <f t="shared" si="13"/>
        <v>0</v>
      </c>
      <c r="J73" s="134">
        <f t="shared" si="13"/>
        <v>0</v>
      </c>
      <c r="K73" s="579"/>
      <c r="L73" s="624"/>
      <c r="M73" s="624"/>
      <c r="N73" s="624"/>
      <c r="O73" s="624"/>
      <c r="P73" s="624"/>
      <c r="Q73" s="652"/>
    </row>
    <row r="74" spans="1:18" ht="24.6" customHeight="1" x14ac:dyDescent="0.2">
      <c r="A74" s="582" t="s">
        <v>91</v>
      </c>
      <c r="B74" s="584" t="s">
        <v>86</v>
      </c>
      <c r="C74" s="642" t="s">
        <v>161</v>
      </c>
      <c r="D74" s="137" t="s">
        <v>207</v>
      </c>
      <c r="E74" s="135">
        <f t="shared" ref="E74:J74" si="14">E75</f>
        <v>158.80000000000001</v>
      </c>
      <c r="F74" s="135">
        <f t="shared" si="14"/>
        <v>78.8</v>
      </c>
      <c r="G74" s="135">
        <f t="shared" si="14"/>
        <v>20</v>
      </c>
      <c r="H74" s="135">
        <f t="shared" si="14"/>
        <v>20</v>
      </c>
      <c r="I74" s="135">
        <f t="shared" si="14"/>
        <v>20</v>
      </c>
      <c r="J74" s="135">
        <f t="shared" si="14"/>
        <v>20</v>
      </c>
      <c r="K74" s="622" t="s">
        <v>261</v>
      </c>
      <c r="L74" s="623" t="s">
        <v>236</v>
      </c>
      <c r="M74" s="623" t="s">
        <v>236</v>
      </c>
      <c r="N74" s="623" t="s">
        <v>236</v>
      </c>
      <c r="O74" s="623" t="s">
        <v>236</v>
      </c>
      <c r="P74" s="623" t="s">
        <v>236</v>
      </c>
      <c r="Q74" s="582" t="s">
        <v>142</v>
      </c>
    </row>
    <row r="75" spans="1:18" ht="13.5" customHeight="1" x14ac:dyDescent="0.2">
      <c r="A75" s="653"/>
      <c r="B75" s="655"/>
      <c r="C75" s="677"/>
      <c r="D75" s="591" t="s">
        <v>5</v>
      </c>
      <c r="E75" s="679">
        <f>SUM(F75:J76)</f>
        <v>158.80000000000001</v>
      </c>
      <c r="F75" s="662">
        <f>118.8-40</f>
        <v>78.8</v>
      </c>
      <c r="G75" s="662">
        <v>20</v>
      </c>
      <c r="H75" s="662">
        <v>20</v>
      </c>
      <c r="I75" s="662">
        <v>20</v>
      </c>
      <c r="J75" s="662">
        <v>20</v>
      </c>
      <c r="K75" s="579"/>
      <c r="L75" s="624"/>
      <c r="M75" s="624"/>
      <c r="N75" s="624"/>
      <c r="O75" s="624"/>
      <c r="P75" s="624"/>
      <c r="Q75" s="661"/>
    </row>
    <row r="76" spans="1:18" ht="11.25" customHeight="1" x14ac:dyDescent="0.2">
      <c r="A76" s="654"/>
      <c r="B76" s="645"/>
      <c r="C76" s="677"/>
      <c r="D76" s="591"/>
      <c r="E76" s="680"/>
      <c r="F76" s="659"/>
      <c r="G76" s="659"/>
      <c r="H76" s="659"/>
      <c r="I76" s="659"/>
      <c r="J76" s="659"/>
      <c r="K76" s="579"/>
      <c r="L76" s="624"/>
      <c r="M76" s="624"/>
      <c r="N76" s="624"/>
      <c r="O76" s="624"/>
      <c r="P76" s="624"/>
      <c r="Q76" s="678"/>
    </row>
    <row r="77" spans="1:18" ht="22.5" customHeight="1" x14ac:dyDescent="0.2">
      <c r="A77" s="582" t="s">
        <v>141</v>
      </c>
      <c r="B77" s="584" t="s">
        <v>139</v>
      </c>
      <c r="C77" s="612" t="s">
        <v>260</v>
      </c>
      <c r="D77" s="119" t="s">
        <v>207</v>
      </c>
      <c r="E77" s="135">
        <f t="shared" ref="E77:J77" si="15">E79+E78</f>
        <v>722</v>
      </c>
      <c r="F77" s="135">
        <f t="shared" si="15"/>
        <v>722</v>
      </c>
      <c r="G77" s="135">
        <f t="shared" si="15"/>
        <v>0</v>
      </c>
      <c r="H77" s="135">
        <f t="shared" si="15"/>
        <v>0</v>
      </c>
      <c r="I77" s="135">
        <f t="shared" si="15"/>
        <v>0</v>
      </c>
      <c r="J77" s="135">
        <f t="shared" si="15"/>
        <v>0</v>
      </c>
      <c r="K77" s="622" t="s">
        <v>261</v>
      </c>
      <c r="L77" s="623" t="s">
        <v>236</v>
      </c>
      <c r="M77" s="623" t="s">
        <v>213</v>
      </c>
      <c r="N77" s="623" t="s">
        <v>213</v>
      </c>
      <c r="O77" s="623" t="s">
        <v>213</v>
      </c>
      <c r="P77" s="623" t="s">
        <v>213</v>
      </c>
      <c r="Q77" s="582" t="s">
        <v>142</v>
      </c>
    </row>
    <row r="78" spans="1:18" ht="13.5" customHeight="1" x14ac:dyDescent="0.2">
      <c r="A78" s="653"/>
      <c r="B78" s="655"/>
      <c r="C78" s="570"/>
      <c r="D78" s="186" t="s">
        <v>5</v>
      </c>
      <c r="E78" s="76">
        <f>SUM(F78:J78)</f>
        <v>453</v>
      </c>
      <c r="F78" s="202">
        <v>453</v>
      </c>
      <c r="G78" s="202">
        <v>0</v>
      </c>
      <c r="H78" s="202">
        <v>0</v>
      </c>
      <c r="I78" s="193">
        <v>0</v>
      </c>
      <c r="J78" s="193">
        <v>0</v>
      </c>
      <c r="K78" s="579"/>
      <c r="L78" s="624"/>
      <c r="M78" s="624"/>
      <c r="N78" s="624"/>
      <c r="O78" s="624"/>
      <c r="P78" s="624"/>
      <c r="Q78" s="661"/>
    </row>
    <row r="79" spans="1:18" ht="12" customHeight="1" thickBot="1" x14ac:dyDescent="0.25">
      <c r="A79" s="654"/>
      <c r="B79" s="645"/>
      <c r="C79" s="570"/>
      <c r="D79" s="183" t="s">
        <v>6</v>
      </c>
      <c r="E79" s="203">
        <f>SUM(F79:J79)</f>
        <v>269</v>
      </c>
      <c r="F79" s="193">
        <v>269</v>
      </c>
      <c r="G79" s="193">
        <v>0</v>
      </c>
      <c r="H79" s="193">
        <v>0</v>
      </c>
      <c r="I79" s="193">
        <v>0</v>
      </c>
      <c r="J79" s="193">
        <v>0</v>
      </c>
      <c r="K79" s="579"/>
      <c r="L79" s="624"/>
      <c r="M79" s="624"/>
      <c r="N79" s="624"/>
      <c r="O79" s="624"/>
      <c r="P79" s="624"/>
      <c r="Q79" s="678"/>
    </row>
    <row r="80" spans="1:18" ht="18" customHeight="1" x14ac:dyDescent="0.2">
      <c r="A80" s="612"/>
      <c r="B80" s="571" t="s">
        <v>48</v>
      </c>
      <c r="C80" s="613"/>
      <c r="D80" s="575" t="s">
        <v>207</v>
      </c>
      <c r="E80" s="577">
        <f t="shared" ref="E80:J80" si="16">SUM(E82:E83)</f>
        <v>3252.8</v>
      </c>
      <c r="F80" s="577">
        <f t="shared" si="16"/>
        <v>1883.5</v>
      </c>
      <c r="G80" s="577">
        <f t="shared" si="16"/>
        <v>889.3</v>
      </c>
      <c r="H80" s="577">
        <f t="shared" si="16"/>
        <v>160</v>
      </c>
      <c r="I80" s="577">
        <f t="shared" si="16"/>
        <v>160</v>
      </c>
      <c r="J80" s="595">
        <f t="shared" si="16"/>
        <v>160</v>
      </c>
      <c r="K80" s="681"/>
      <c r="L80" s="579"/>
      <c r="M80" s="579"/>
      <c r="N80" s="579"/>
      <c r="O80" s="579"/>
      <c r="P80" s="579"/>
      <c r="Q80" s="579"/>
    </row>
    <row r="81" spans="1:17" ht="12.75" customHeight="1" x14ac:dyDescent="0.2">
      <c r="A81" s="612"/>
      <c r="B81" s="571"/>
      <c r="C81" s="613"/>
      <c r="D81" s="614"/>
      <c r="E81" s="578"/>
      <c r="F81" s="578"/>
      <c r="G81" s="578"/>
      <c r="H81" s="578"/>
      <c r="I81" s="578"/>
      <c r="J81" s="596"/>
      <c r="K81" s="682"/>
      <c r="L81" s="579"/>
      <c r="M81" s="579"/>
      <c r="N81" s="579"/>
      <c r="O81" s="579"/>
      <c r="P81" s="579"/>
      <c r="Q81" s="579"/>
    </row>
    <row r="82" spans="1:17" ht="14.25" customHeight="1" x14ac:dyDescent="0.2">
      <c r="A82" s="612"/>
      <c r="B82" s="571"/>
      <c r="C82" s="613"/>
      <c r="D82" s="38" t="s">
        <v>5</v>
      </c>
      <c r="E82" s="184">
        <f>SUM(F82:J82)</f>
        <v>2664.5</v>
      </c>
      <c r="F82" s="184">
        <f>SUM(F75,F78,F52,F39,F41)</f>
        <v>1614.5</v>
      </c>
      <c r="G82" s="184">
        <f>SUM(G68,G55,G39,G41,G67)</f>
        <v>570</v>
      </c>
      <c r="H82" s="184">
        <f>SUM(H68,H52,H39,H41)</f>
        <v>160</v>
      </c>
      <c r="I82" s="184">
        <f>SUM(I68,I52,I39,I41)</f>
        <v>160</v>
      </c>
      <c r="J82" s="43">
        <f>SUM(J68,J52,J39,J41)</f>
        <v>160</v>
      </c>
      <c r="K82" s="682"/>
      <c r="L82" s="579"/>
      <c r="M82" s="579"/>
      <c r="N82" s="579"/>
      <c r="O82" s="579"/>
      <c r="P82" s="579"/>
      <c r="Q82" s="579"/>
    </row>
    <row r="83" spans="1:17" ht="14.25" customHeight="1" thickBot="1" x14ac:dyDescent="0.25">
      <c r="A83" s="570"/>
      <c r="B83" s="572"/>
      <c r="C83" s="684"/>
      <c r="D83" s="39" t="s">
        <v>6</v>
      </c>
      <c r="E83" s="44">
        <f>SUM(F83:J83)</f>
        <v>588.29999999999995</v>
      </c>
      <c r="F83" s="44">
        <f>F79</f>
        <v>269</v>
      </c>
      <c r="G83" s="44">
        <f>G79+G66</f>
        <v>319.3</v>
      </c>
      <c r="H83" s="44">
        <f>H79</f>
        <v>0</v>
      </c>
      <c r="I83" s="44">
        <f>I79</f>
        <v>0</v>
      </c>
      <c r="J83" s="45">
        <f>J79</f>
        <v>0</v>
      </c>
      <c r="K83" s="683"/>
      <c r="L83" s="580"/>
      <c r="M83" s="580"/>
      <c r="N83" s="580"/>
      <c r="O83" s="580"/>
      <c r="P83" s="580"/>
      <c r="Q83" s="580"/>
    </row>
    <row r="84" spans="1:17" ht="13.5" customHeight="1" x14ac:dyDescent="0.2">
      <c r="A84" s="8" t="s">
        <v>38</v>
      </c>
      <c r="B84" s="626" t="s">
        <v>93</v>
      </c>
      <c r="C84" s="627"/>
      <c r="D84" s="593"/>
      <c r="E84" s="593"/>
      <c r="F84" s="593"/>
      <c r="G84" s="593"/>
      <c r="H84" s="593"/>
      <c r="I84" s="593"/>
      <c r="J84" s="593"/>
      <c r="K84" s="627"/>
      <c r="L84" s="627"/>
      <c r="M84" s="627"/>
      <c r="N84" s="627"/>
      <c r="O84" s="627"/>
      <c r="P84" s="627"/>
      <c r="Q84" s="628"/>
    </row>
    <row r="85" spans="1:17" ht="16.5" customHeight="1" x14ac:dyDescent="0.2">
      <c r="A85" s="582" t="s">
        <v>39</v>
      </c>
      <c r="B85" s="584" t="s">
        <v>58</v>
      </c>
      <c r="C85" s="642" t="s">
        <v>161</v>
      </c>
      <c r="D85" s="671" t="s">
        <v>223</v>
      </c>
      <c r="E85" s="649">
        <f t="shared" ref="E85:J85" si="17">SUM(E92:E94)</f>
        <v>363716.40000000008</v>
      </c>
      <c r="F85" s="649">
        <f t="shared" si="17"/>
        <v>75088</v>
      </c>
      <c r="G85" s="649">
        <f t="shared" si="17"/>
        <v>75143.5</v>
      </c>
      <c r="H85" s="649">
        <f t="shared" si="17"/>
        <v>67266.900000000009</v>
      </c>
      <c r="I85" s="649">
        <f t="shared" si="17"/>
        <v>73109</v>
      </c>
      <c r="J85" s="649">
        <f t="shared" si="17"/>
        <v>73109</v>
      </c>
      <c r="K85" s="622" t="s">
        <v>262</v>
      </c>
      <c r="L85" s="623" t="s">
        <v>236</v>
      </c>
      <c r="M85" s="623" t="s">
        <v>236</v>
      </c>
      <c r="N85" s="623" t="s">
        <v>236</v>
      </c>
      <c r="O85" s="623" t="s">
        <v>236</v>
      </c>
      <c r="P85" s="623" t="s">
        <v>236</v>
      </c>
      <c r="Q85" s="623" t="s">
        <v>99</v>
      </c>
    </row>
    <row r="86" spans="1:17" ht="14.1" customHeight="1" x14ac:dyDescent="0.2">
      <c r="A86" s="661"/>
      <c r="B86" s="644"/>
      <c r="C86" s="677"/>
      <c r="D86" s="672"/>
      <c r="E86" s="650"/>
      <c r="F86" s="650"/>
      <c r="G86" s="650"/>
      <c r="H86" s="650"/>
      <c r="I86" s="650"/>
      <c r="J86" s="650"/>
      <c r="K86" s="622"/>
      <c r="L86" s="623"/>
      <c r="M86" s="623"/>
      <c r="N86" s="623"/>
      <c r="O86" s="623"/>
      <c r="P86" s="623"/>
      <c r="Q86" s="623"/>
    </row>
    <row r="87" spans="1:17" ht="9.6" hidden="1" customHeight="1" x14ac:dyDescent="0.2">
      <c r="A87" s="661"/>
      <c r="B87" s="644"/>
      <c r="C87" s="677"/>
      <c r="D87" s="672"/>
      <c r="E87" s="650"/>
      <c r="F87" s="650"/>
      <c r="G87" s="650"/>
      <c r="H87" s="650"/>
      <c r="I87" s="650"/>
      <c r="J87" s="650"/>
      <c r="K87" s="622"/>
      <c r="L87" s="623"/>
      <c r="M87" s="623"/>
      <c r="N87" s="623"/>
      <c r="O87" s="623"/>
      <c r="P87" s="623"/>
      <c r="Q87" s="623"/>
    </row>
    <row r="88" spans="1:17" ht="16.5" customHeight="1" x14ac:dyDescent="0.2">
      <c r="A88" s="661"/>
      <c r="B88" s="644"/>
      <c r="C88" s="677"/>
      <c r="D88" s="673"/>
      <c r="E88" s="651"/>
      <c r="F88" s="651"/>
      <c r="G88" s="651"/>
      <c r="H88" s="651"/>
      <c r="I88" s="651"/>
      <c r="J88" s="651"/>
      <c r="K88" s="622"/>
      <c r="L88" s="623"/>
      <c r="M88" s="623"/>
      <c r="N88" s="623"/>
      <c r="O88" s="623"/>
      <c r="P88" s="623"/>
      <c r="Q88" s="623"/>
    </row>
    <row r="89" spans="1:17" ht="13.5" customHeight="1" x14ac:dyDescent="0.2">
      <c r="A89" s="653"/>
      <c r="B89" s="655"/>
      <c r="C89" s="583"/>
      <c r="D89" s="194" t="s">
        <v>5</v>
      </c>
      <c r="E89" s="188">
        <f t="shared" ref="E89:J89" si="18">E91</f>
        <v>123551.70000000001</v>
      </c>
      <c r="F89" s="188">
        <f t="shared" si="18"/>
        <v>28491.4</v>
      </c>
      <c r="G89" s="188">
        <f t="shared" si="18"/>
        <v>26384</v>
      </c>
      <c r="H89" s="188">
        <f t="shared" si="18"/>
        <v>20892.099999999999</v>
      </c>
      <c r="I89" s="188">
        <f t="shared" si="18"/>
        <v>23892.1</v>
      </c>
      <c r="J89" s="188">
        <f t="shared" si="18"/>
        <v>23892.1</v>
      </c>
      <c r="K89" s="580"/>
      <c r="L89" s="657"/>
      <c r="M89" s="657"/>
      <c r="N89" s="657"/>
      <c r="O89" s="657"/>
      <c r="P89" s="657"/>
      <c r="Q89" s="657"/>
    </row>
    <row r="90" spans="1:17" ht="13.5" customHeight="1" x14ac:dyDescent="0.2">
      <c r="A90" s="654"/>
      <c r="B90" s="645"/>
      <c r="C90" s="646"/>
      <c r="D90" s="194" t="s">
        <v>6</v>
      </c>
      <c r="E90" s="188">
        <f t="shared" ref="E90:J90" si="19">E93</f>
        <v>240164.70000000007</v>
      </c>
      <c r="F90" s="188">
        <f t="shared" si="19"/>
        <v>46596.6</v>
      </c>
      <c r="G90" s="188">
        <f t="shared" si="19"/>
        <v>48759.5</v>
      </c>
      <c r="H90" s="188">
        <f t="shared" si="19"/>
        <v>46374.80000000001</v>
      </c>
      <c r="I90" s="188">
        <f t="shared" si="19"/>
        <v>49216.900000000009</v>
      </c>
      <c r="J90" s="188">
        <f t="shared" si="19"/>
        <v>49216.900000000009</v>
      </c>
      <c r="K90" s="580"/>
      <c r="L90" s="657"/>
      <c r="M90" s="657"/>
      <c r="N90" s="657"/>
      <c r="O90" s="657"/>
      <c r="P90" s="657"/>
      <c r="Q90" s="657"/>
    </row>
    <row r="91" spans="1:17" ht="26.45" customHeight="1" x14ac:dyDescent="0.2">
      <c r="A91" s="582" t="s">
        <v>94</v>
      </c>
      <c r="B91" s="478" t="s">
        <v>109</v>
      </c>
      <c r="C91" s="550" t="s">
        <v>161</v>
      </c>
      <c r="D91" s="285" t="s">
        <v>207</v>
      </c>
      <c r="E91" s="286">
        <f t="shared" ref="E91:J91" si="20">E92</f>
        <v>123551.70000000001</v>
      </c>
      <c r="F91" s="286">
        <f t="shared" si="20"/>
        <v>28491.4</v>
      </c>
      <c r="G91" s="286">
        <f t="shared" si="20"/>
        <v>26384</v>
      </c>
      <c r="H91" s="286">
        <f t="shared" si="20"/>
        <v>20892.099999999999</v>
      </c>
      <c r="I91" s="286">
        <f t="shared" si="20"/>
        <v>23892.1</v>
      </c>
      <c r="J91" s="286">
        <f t="shared" si="20"/>
        <v>23892.1</v>
      </c>
      <c r="K91" s="552" t="s">
        <v>263</v>
      </c>
      <c r="L91" s="515" t="s">
        <v>236</v>
      </c>
      <c r="M91" s="515" t="s">
        <v>236</v>
      </c>
      <c r="N91" s="515" t="s">
        <v>236</v>
      </c>
      <c r="O91" s="515" t="s">
        <v>236</v>
      </c>
      <c r="P91" s="515" t="s">
        <v>236</v>
      </c>
      <c r="Q91" s="498" t="s">
        <v>99</v>
      </c>
    </row>
    <row r="92" spans="1:17" ht="20.45" customHeight="1" x14ac:dyDescent="0.2">
      <c r="A92" s="654"/>
      <c r="B92" s="514"/>
      <c r="C92" s="687"/>
      <c r="D92" s="287" t="s">
        <v>5</v>
      </c>
      <c r="E92" s="254">
        <f>SUM(F92:J92)</f>
        <v>123551.70000000001</v>
      </c>
      <c r="F92" s="288">
        <v>28491.4</v>
      </c>
      <c r="G92" s="288">
        <f>23892.1-1000-600+3810.3+312.7-31.1</f>
        <v>26384</v>
      </c>
      <c r="H92" s="288">
        <v>20892.099999999999</v>
      </c>
      <c r="I92" s="288">
        <v>23892.1</v>
      </c>
      <c r="J92" s="288">
        <v>23892.1</v>
      </c>
      <c r="K92" s="694"/>
      <c r="L92" s="685"/>
      <c r="M92" s="685"/>
      <c r="N92" s="685"/>
      <c r="O92" s="685"/>
      <c r="P92" s="685"/>
      <c r="Q92" s="686"/>
    </row>
    <row r="93" spans="1:17" ht="26.1" customHeight="1" x14ac:dyDescent="0.2">
      <c r="A93" s="582" t="s">
        <v>95</v>
      </c>
      <c r="B93" s="475" t="s">
        <v>100</v>
      </c>
      <c r="C93" s="550" t="s">
        <v>161</v>
      </c>
      <c r="D93" s="688" t="s">
        <v>220</v>
      </c>
      <c r="E93" s="690">
        <f>F93+G93+H93+I93+J93</f>
        <v>240164.70000000007</v>
      </c>
      <c r="F93" s="690">
        <f>F97+F102+F105+F108+F110</f>
        <v>46596.6</v>
      </c>
      <c r="G93" s="690">
        <f>G97+G102+G105+G108+G110</f>
        <v>48759.5</v>
      </c>
      <c r="H93" s="690">
        <f>H97+H102+H105+H108+H110</f>
        <v>46374.80000000001</v>
      </c>
      <c r="I93" s="690">
        <f>I97+I102+I105+I108+I110</f>
        <v>49216.900000000009</v>
      </c>
      <c r="J93" s="690">
        <f>J97+J102+J105+J108+J110</f>
        <v>49216.900000000009</v>
      </c>
      <c r="K93" s="501" t="s">
        <v>263</v>
      </c>
      <c r="L93" s="502">
        <v>100</v>
      </c>
      <c r="M93" s="502">
        <v>100</v>
      </c>
      <c r="N93" s="502">
        <v>100</v>
      </c>
      <c r="O93" s="502">
        <v>100</v>
      </c>
      <c r="P93" s="502">
        <v>100</v>
      </c>
      <c r="Q93" s="498" t="s">
        <v>99</v>
      </c>
    </row>
    <row r="94" spans="1:17" ht="6" customHeight="1" x14ac:dyDescent="0.2">
      <c r="A94" s="661"/>
      <c r="B94" s="476"/>
      <c r="C94" s="551"/>
      <c r="D94" s="689"/>
      <c r="E94" s="686"/>
      <c r="F94" s="686"/>
      <c r="G94" s="686"/>
      <c r="H94" s="686"/>
      <c r="I94" s="686"/>
      <c r="J94" s="686"/>
      <c r="K94" s="691"/>
      <c r="L94" s="503"/>
      <c r="M94" s="503"/>
      <c r="N94" s="503"/>
      <c r="O94" s="503"/>
      <c r="P94" s="503"/>
      <c r="Q94" s="693"/>
    </row>
    <row r="95" spans="1:17" ht="16.350000000000001" customHeight="1" x14ac:dyDescent="0.2">
      <c r="A95" s="654"/>
      <c r="B95" s="536"/>
      <c r="C95" s="687"/>
      <c r="D95" s="289" t="s">
        <v>6</v>
      </c>
      <c r="E95" s="213">
        <f t="shared" ref="E95:J95" si="21">E93</f>
        <v>240164.70000000007</v>
      </c>
      <c r="F95" s="213">
        <f t="shared" si="21"/>
        <v>46596.6</v>
      </c>
      <c r="G95" s="213">
        <f t="shared" si="21"/>
        <v>48759.5</v>
      </c>
      <c r="H95" s="213">
        <f t="shared" si="21"/>
        <v>46374.80000000001</v>
      </c>
      <c r="I95" s="213">
        <f t="shared" si="21"/>
        <v>49216.900000000009</v>
      </c>
      <c r="J95" s="213">
        <f t="shared" si="21"/>
        <v>49216.900000000009</v>
      </c>
      <c r="K95" s="692"/>
      <c r="L95" s="686"/>
      <c r="M95" s="686"/>
      <c r="N95" s="686"/>
      <c r="O95" s="686"/>
      <c r="P95" s="686"/>
      <c r="Q95" s="686"/>
    </row>
    <row r="96" spans="1:17" ht="25.35" customHeight="1" x14ac:dyDescent="0.2">
      <c r="A96" s="582" t="s">
        <v>101</v>
      </c>
      <c r="B96" s="478" t="s">
        <v>103</v>
      </c>
      <c r="C96" s="550" t="s">
        <v>161</v>
      </c>
      <c r="D96" s="290" t="s">
        <v>207</v>
      </c>
      <c r="E96" s="259">
        <f t="shared" ref="E96:J96" si="22">E97</f>
        <v>8650.4</v>
      </c>
      <c r="F96" s="259">
        <f t="shared" si="22"/>
        <v>1840</v>
      </c>
      <c r="G96" s="259">
        <f t="shared" si="22"/>
        <v>1934</v>
      </c>
      <c r="H96" s="259">
        <f t="shared" si="22"/>
        <v>1550</v>
      </c>
      <c r="I96" s="259">
        <f t="shared" si="22"/>
        <v>1663.2</v>
      </c>
      <c r="J96" s="259">
        <f t="shared" si="22"/>
        <v>1663.2</v>
      </c>
      <c r="K96" s="483" t="s">
        <v>264</v>
      </c>
      <c r="L96" s="498" t="s">
        <v>236</v>
      </c>
      <c r="M96" s="498" t="s">
        <v>236</v>
      </c>
      <c r="N96" s="498" t="s">
        <v>236</v>
      </c>
      <c r="O96" s="498" t="s">
        <v>236</v>
      </c>
      <c r="P96" s="498" t="s">
        <v>236</v>
      </c>
      <c r="Q96" s="498" t="s">
        <v>99</v>
      </c>
    </row>
    <row r="97" spans="1:17" ht="19.5" customHeight="1" x14ac:dyDescent="0.2">
      <c r="A97" s="653"/>
      <c r="B97" s="699"/>
      <c r="C97" s="702"/>
      <c r="D97" s="695" t="s">
        <v>6</v>
      </c>
      <c r="E97" s="485">
        <f>SUM(F97:J98)</f>
        <v>8650.4</v>
      </c>
      <c r="F97" s="485">
        <v>1840</v>
      </c>
      <c r="G97" s="485">
        <v>1934</v>
      </c>
      <c r="H97" s="485">
        <f>2100-550</f>
        <v>1550</v>
      </c>
      <c r="I97" s="485">
        <f>2200-536.8</f>
        <v>1663.2</v>
      </c>
      <c r="J97" s="485">
        <f>2200-536.8</f>
        <v>1663.2</v>
      </c>
      <c r="K97" s="691"/>
      <c r="L97" s="499"/>
      <c r="M97" s="499"/>
      <c r="N97" s="499"/>
      <c r="O97" s="499"/>
      <c r="P97" s="499"/>
      <c r="Q97" s="693"/>
    </row>
    <row r="98" spans="1:17" ht="26.25" customHeight="1" x14ac:dyDescent="0.2">
      <c r="A98" s="653"/>
      <c r="B98" s="699"/>
      <c r="C98" s="702"/>
      <c r="D98" s="696"/>
      <c r="E98" s="486"/>
      <c r="F98" s="486"/>
      <c r="G98" s="486"/>
      <c r="H98" s="486"/>
      <c r="I98" s="486"/>
      <c r="J98" s="486"/>
      <c r="K98" s="691"/>
      <c r="L98" s="499"/>
      <c r="M98" s="499"/>
      <c r="N98" s="499"/>
      <c r="O98" s="499"/>
      <c r="P98" s="499"/>
      <c r="Q98" s="693"/>
    </row>
    <row r="99" spans="1:17" ht="6" customHeight="1" x14ac:dyDescent="0.2">
      <c r="A99" s="653"/>
      <c r="B99" s="699"/>
      <c r="C99" s="702"/>
      <c r="D99" s="697"/>
      <c r="E99" s="693"/>
      <c r="F99" s="697"/>
      <c r="G99" s="697"/>
      <c r="H99" s="697"/>
      <c r="I99" s="693"/>
      <c r="J99" s="693"/>
      <c r="K99" s="691"/>
      <c r="L99" s="499"/>
      <c r="M99" s="499"/>
      <c r="N99" s="499"/>
      <c r="O99" s="499"/>
      <c r="P99" s="499"/>
      <c r="Q99" s="693"/>
    </row>
    <row r="100" spans="1:17" ht="12.75" customHeight="1" x14ac:dyDescent="0.2">
      <c r="A100" s="654"/>
      <c r="B100" s="700"/>
      <c r="C100" s="703"/>
      <c r="D100" s="698"/>
      <c r="E100" s="686"/>
      <c r="F100" s="698"/>
      <c r="G100" s="698"/>
      <c r="H100" s="698"/>
      <c r="I100" s="686"/>
      <c r="J100" s="686"/>
      <c r="K100" s="692"/>
      <c r="L100" s="500"/>
      <c r="M100" s="500"/>
      <c r="N100" s="500"/>
      <c r="O100" s="500"/>
      <c r="P100" s="500"/>
      <c r="Q100" s="686"/>
    </row>
    <row r="101" spans="1:17" ht="26.45" customHeight="1" x14ac:dyDescent="0.2">
      <c r="A101" s="582" t="s">
        <v>102</v>
      </c>
      <c r="B101" s="478" t="s">
        <v>61</v>
      </c>
      <c r="C101" s="550" t="s">
        <v>161</v>
      </c>
      <c r="D101" s="290" t="s">
        <v>207</v>
      </c>
      <c r="E101" s="230">
        <f t="shared" ref="E101:J101" si="23">E102</f>
        <v>549.79999999999995</v>
      </c>
      <c r="F101" s="230">
        <f t="shared" si="23"/>
        <v>549.79999999999995</v>
      </c>
      <c r="G101" s="230">
        <f t="shared" si="23"/>
        <v>0</v>
      </c>
      <c r="H101" s="230">
        <f t="shared" si="23"/>
        <v>0</v>
      </c>
      <c r="I101" s="230">
        <f t="shared" si="23"/>
        <v>0</v>
      </c>
      <c r="J101" s="230">
        <f t="shared" si="23"/>
        <v>0</v>
      </c>
      <c r="K101" s="483" t="s">
        <v>263</v>
      </c>
      <c r="L101" s="498" t="s">
        <v>236</v>
      </c>
      <c r="M101" s="498" t="s">
        <v>213</v>
      </c>
      <c r="N101" s="498" t="s">
        <v>213</v>
      </c>
      <c r="O101" s="498" t="s">
        <v>213</v>
      </c>
      <c r="P101" s="498" t="s">
        <v>213</v>
      </c>
      <c r="Q101" s="291"/>
    </row>
    <row r="102" spans="1:17" ht="62.45" customHeight="1" x14ac:dyDescent="0.2">
      <c r="A102" s="653"/>
      <c r="B102" s="699"/>
      <c r="C102" s="701"/>
      <c r="D102" s="292" t="s">
        <v>6</v>
      </c>
      <c r="E102" s="212">
        <f t="shared" ref="E102:E111" si="24">SUM(F102:J102)</f>
        <v>549.79999999999995</v>
      </c>
      <c r="F102" s="212">
        <f>449.8+100</f>
        <v>549.79999999999995</v>
      </c>
      <c r="G102" s="212">
        <v>0</v>
      </c>
      <c r="H102" s="212">
        <v>0</v>
      </c>
      <c r="I102" s="212">
        <v>0</v>
      </c>
      <c r="J102" s="212">
        <v>0</v>
      </c>
      <c r="K102" s="691"/>
      <c r="L102" s="499"/>
      <c r="M102" s="499"/>
      <c r="N102" s="499"/>
      <c r="O102" s="499"/>
      <c r="P102" s="499"/>
      <c r="Q102" s="245" t="s">
        <v>206</v>
      </c>
    </row>
    <row r="103" spans="1:17" ht="51" hidden="1" customHeight="1" x14ac:dyDescent="0.2">
      <c r="A103" s="654"/>
      <c r="B103" s="700"/>
      <c r="C103" s="687"/>
      <c r="D103" s="292" t="s">
        <v>6</v>
      </c>
      <c r="E103" s="212">
        <v>0</v>
      </c>
      <c r="F103" s="212">
        <v>0</v>
      </c>
      <c r="G103" s="212">
        <v>0</v>
      </c>
      <c r="H103" s="212">
        <v>0</v>
      </c>
      <c r="I103" s="212">
        <v>0</v>
      </c>
      <c r="J103" s="212">
        <v>0</v>
      </c>
      <c r="K103" s="692"/>
      <c r="L103" s="500"/>
      <c r="M103" s="500"/>
      <c r="N103" s="500"/>
      <c r="O103" s="500"/>
      <c r="P103" s="500"/>
      <c r="Q103" s="245"/>
    </row>
    <row r="104" spans="1:17" ht="29.1" customHeight="1" x14ac:dyDescent="0.2">
      <c r="A104" s="705" t="s">
        <v>104</v>
      </c>
      <c r="B104" s="706" t="s">
        <v>66</v>
      </c>
      <c r="C104" s="550" t="s">
        <v>161</v>
      </c>
      <c r="D104" s="290" t="s">
        <v>207</v>
      </c>
      <c r="E104" s="255">
        <f t="shared" ref="E104:J104" si="25">E105</f>
        <v>280.59999999999997</v>
      </c>
      <c r="F104" s="255">
        <f t="shared" si="25"/>
        <v>45.9</v>
      </c>
      <c r="G104" s="255">
        <f t="shared" si="25"/>
        <v>44</v>
      </c>
      <c r="H104" s="255">
        <f t="shared" si="25"/>
        <v>63.3</v>
      </c>
      <c r="I104" s="255">
        <f t="shared" si="25"/>
        <v>63.7</v>
      </c>
      <c r="J104" s="255">
        <f t="shared" si="25"/>
        <v>63.7</v>
      </c>
      <c r="K104" s="483" t="s">
        <v>263</v>
      </c>
      <c r="L104" s="498" t="s">
        <v>236</v>
      </c>
      <c r="M104" s="498" t="s">
        <v>236</v>
      </c>
      <c r="N104" s="498" t="s">
        <v>236</v>
      </c>
      <c r="O104" s="498" t="s">
        <v>236</v>
      </c>
      <c r="P104" s="498" t="s">
        <v>236</v>
      </c>
      <c r="Q104" s="475" t="s">
        <v>205</v>
      </c>
    </row>
    <row r="105" spans="1:17" ht="49.35" customHeight="1" x14ac:dyDescent="0.2">
      <c r="A105" s="704"/>
      <c r="B105" s="700"/>
      <c r="C105" s="701"/>
      <c r="D105" s="287" t="s">
        <v>6</v>
      </c>
      <c r="E105" s="254">
        <f t="shared" si="24"/>
        <v>280.59999999999997</v>
      </c>
      <c r="F105" s="254">
        <v>45.9</v>
      </c>
      <c r="G105" s="254">
        <f>44.5-0.5</f>
        <v>44</v>
      </c>
      <c r="H105" s="254">
        <f>44.5+18.8</f>
        <v>63.3</v>
      </c>
      <c r="I105" s="254">
        <f>44.5+19.2</f>
        <v>63.7</v>
      </c>
      <c r="J105" s="254">
        <f>44.5+19.2</f>
        <v>63.7</v>
      </c>
      <c r="K105" s="692"/>
      <c r="L105" s="686"/>
      <c r="M105" s="686"/>
      <c r="N105" s="686"/>
      <c r="O105" s="686"/>
      <c r="P105" s="686"/>
      <c r="Q105" s="477"/>
    </row>
    <row r="106" spans="1:17" ht="36.75" hidden="1" customHeight="1" x14ac:dyDescent="0.2">
      <c r="A106" s="81"/>
      <c r="B106" s="293"/>
      <c r="C106" s="687"/>
      <c r="D106" s="287" t="s">
        <v>6</v>
      </c>
      <c r="E106" s="254">
        <f t="shared" si="24"/>
        <v>0</v>
      </c>
      <c r="F106" s="254">
        <v>0</v>
      </c>
      <c r="G106" s="254">
        <v>0</v>
      </c>
      <c r="H106" s="254">
        <v>0</v>
      </c>
      <c r="I106" s="254">
        <v>0</v>
      </c>
      <c r="J106" s="254">
        <v>0</v>
      </c>
      <c r="K106" s="294"/>
      <c r="L106" s="295"/>
      <c r="M106" s="295"/>
      <c r="N106" s="295"/>
      <c r="O106" s="295"/>
      <c r="P106" s="295"/>
      <c r="Q106" s="252"/>
    </row>
    <row r="107" spans="1:17" ht="23.1" customHeight="1" x14ac:dyDescent="0.2">
      <c r="A107" s="582" t="s">
        <v>105</v>
      </c>
      <c r="B107" s="478" t="s">
        <v>62</v>
      </c>
      <c r="C107" s="550" t="s">
        <v>161</v>
      </c>
      <c r="D107" s="290" t="s">
        <v>207</v>
      </c>
      <c r="E107" s="286">
        <f t="shared" ref="E107:J107" si="26">E108</f>
        <v>219457.00000000003</v>
      </c>
      <c r="F107" s="286">
        <f t="shared" si="26"/>
        <v>42323.1</v>
      </c>
      <c r="G107" s="286">
        <f t="shared" si="26"/>
        <v>45022.3</v>
      </c>
      <c r="H107" s="286">
        <f t="shared" si="26"/>
        <v>42230.200000000004</v>
      </c>
      <c r="I107" s="286">
        <f t="shared" si="26"/>
        <v>44940.700000000004</v>
      </c>
      <c r="J107" s="286">
        <f t="shared" si="26"/>
        <v>44940.700000000004</v>
      </c>
      <c r="K107" s="483" t="s">
        <v>263</v>
      </c>
      <c r="L107" s="498" t="s">
        <v>236</v>
      </c>
      <c r="M107" s="498" t="s">
        <v>236</v>
      </c>
      <c r="N107" s="498" t="s">
        <v>236</v>
      </c>
      <c r="O107" s="498" t="s">
        <v>236</v>
      </c>
      <c r="P107" s="498" t="s">
        <v>236</v>
      </c>
      <c r="Q107" s="252"/>
    </row>
    <row r="108" spans="1:17" ht="39" customHeight="1" x14ac:dyDescent="0.2">
      <c r="A108" s="704"/>
      <c r="B108" s="700"/>
      <c r="C108" s="687"/>
      <c r="D108" s="287" t="s">
        <v>6</v>
      </c>
      <c r="E108" s="296">
        <f t="shared" si="24"/>
        <v>219457.00000000003</v>
      </c>
      <c r="F108" s="296">
        <v>42323.1</v>
      </c>
      <c r="G108" s="296">
        <f>45016+6.3</f>
        <v>45022.3</v>
      </c>
      <c r="H108" s="296">
        <f>42805.3-575.1</f>
        <v>42230.200000000004</v>
      </c>
      <c r="I108" s="296">
        <f>45338.3-397.6</f>
        <v>44940.700000000004</v>
      </c>
      <c r="J108" s="296">
        <f>45338.3-397.6</f>
        <v>44940.700000000004</v>
      </c>
      <c r="K108" s="692"/>
      <c r="L108" s="500"/>
      <c r="M108" s="500"/>
      <c r="N108" s="500"/>
      <c r="O108" s="500"/>
      <c r="P108" s="500"/>
      <c r="Q108" s="252" t="s">
        <v>99</v>
      </c>
    </row>
    <row r="109" spans="1:17" ht="26.45" customHeight="1" x14ac:dyDescent="0.2">
      <c r="A109" s="582" t="s">
        <v>106</v>
      </c>
      <c r="B109" s="478" t="s">
        <v>65</v>
      </c>
      <c r="C109" s="550" t="s">
        <v>42</v>
      </c>
      <c r="D109" s="290" t="s">
        <v>207</v>
      </c>
      <c r="E109" s="286">
        <f t="shared" ref="E109:J109" si="27">E110</f>
        <v>11226.900000000001</v>
      </c>
      <c r="F109" s="286">
        <f t="shared" si="27"/>
        <v>1837.8</v>
      </c>
      <c r="G109" s="286">
        <f t="shared" si="27"/>
        <v>1759.1999999999998</v>
      </c>
      <c r="H109" s="286">
        <f t="shared" si="27"/>
        <v>2531.3000000000002</v>
      </c>
      <c r="I109" s="286">
        <f t="shared" si="27"/>
        <v>2549.3000000000002</v>
      </c>
      <c r="J109" s="286">
        <f t="shared" si="27"/>
        <v>2549.3000000000002</v>
      </c>
      <c r="K109" s="483" t="s">
        <v>263</v>
      </c>
      <c r="L109" s="498" t="s">
        <v>236</v>
      </c>
      <c r="M109" s="498" t="s">
        <v>236</v>
      </c>
      <c r="N109" s="498" t="s">
        <v>236</v>
      </c>
      <c r="O109" s="498" t="s">
        <v>236</v>
      </c>
      <c r="P109" s="498" t="s">
        <v>236</v>
      </c>
      <c r="Q109" s="252"/>
    </row>
    <row r="110" spans="1:17" ht="44.45" customHeight="1" x14ac:dyDescent="0.2">
      <c r="A110" s="707"/>
      <c r="B110" s="699"/>
      <c r="C110" s="701"/>
      <c r="D110" s="287" t="s">
        <v>6</v>
      </c>
      <c r="E110" s="254">
        <f t="shared" si="24"/>
        <v>11226.900000000001</v>
      </c>
      <c r="F110" s="254">
        <v>1837.8</v>
      </c>
      <c r="G110" s="254">
        <f>1780.1-20.9</f>
        <v>1759.1999999999998</v>
      </c>
      <c r="H110" s="254">
        <f>1780.1+751.2</f>
        <v>2531.3000000000002</v>
      </c>
      <c r="I110" s="254">
        <f>1780.1+769.2</f>
        <v>2549.3000000000002</v>
      </c>
      <c r="J110" s="254">
        <f>1780.1+769.2</f>
        <v>2549.3000000000002</v>
      </c>
      <c r="K110" s="691"/>
      <c r="L110" s="708"/>
      <c r="M110" s="708"/>
      <c r="N110" s="708"/>
      <c r="O110" s="708"/>
      <c r="P110" s="708"/>
      <c r="Q110" s="252" t="s">
        <v>160</v>
      </c>
    </row>
    <row r="111" spans="1:17" ht="34.5" hidden="1" customHeight="1" x14ac:dyDescent="0.2">
      <c r="A111" s="704"/>
      <c r="B111" s="700"/>
      <c r="C111" s="687"/>
      <c r="D111" s="297" t="s">
        <v>6</v>
      </c>
      <c r="E111" s="298">
        <f t="shared" si="24"/>
        <v>0</v>
      </c>
      <c r="F111" s="298">
        <v>0</v>
      </c>
      <c r="G111" s="298">
        <v>0</v>
      </c>
      <c r="H111" s="298">
        <v>0</v>
      </c>
      <c r="I111" s="298">
        <v>0</v>
      </c>
      <c r="J111" s="298">
        <v>0</v>
      </c>
      <c r="K111" s="692"/>
      <c r="L111" s="709"/>
      <c r="M111" s="709"/>
      <c r="N111" s="709"/>
      <c r="O111" s="709"/>
      <c r="P111" s="709"/>
      <c r="Q111" s="252"/>
    </row>
    <row r="112" spans="1:17" ht="30" customHeight="1" x14ac:dyDescent="0.2">
      <c r="A112" s="582" t="s">
        <v>107</v>
      </c>
      <c r="B112" s="478" t="s">
        <v>59</v>
      </c>
      <c r="C112" s="550" t="s">
        <v>161</v>
      </c>
      <c r="D112" s="421" t="s">
        <v>216</v>
      </c>
      <c r="E112" s="690">
        <f t="shared" ref="E112:J112" si="28">SUM(E119:E121)</f>
        <v>357710.1</v>
      </c>
      <c r="F112" s="690">
        <f t="shared" si="28"/>
        <v>70964.800000000003</v>
      </c>
      <c r="G112" s="690">
        <f t="shared" si="28"/>
        <v>70737.599999999991</v>
      </c>
      <c r="H112" s="690">
        <f t="shared" si="28"/>
        <v>66929.100000000006</v>
      </c>
      <c r="I112" s="690">
        <f t="shared" si="28"/>
        <v>74539.299999999988</v>
      </c>
      <c r="J112" s="690">
        <f t="shared" si="28"/>
        <v>74539.299999999988</v>
      </c>
      <c r="K112" s="483" t="s">
        <v>50</v>
      </c>
      <c r="L112" s="498" t="s">
        <v>266</v>
      </c>
      <c r="M112" s="498" t="s">
        <v>266</v>
      </c>
      <c r="N112" s="498" t="s">
        <v>266</v>
      </c>
      <c r="O112" s="498" t="s">
        <v>266</v>
      </c>
      <c r="P112" s="498" t="s">
        <v>266</v>
      </c>
      <c r="Q112" s="475" t="s">
        <v>51</v>
      </c>
    </row>
    <row r="113" spans="1:17" ht="5.45" customHeight="1" x14ac:dyDescent="0.2">
      <c r="A113" s="661"/>
      <c r="B113" s="479"/>
      <c r="C113" s="551"/>
      <c r="D113" s="710"/>
      <c r="E113" s="711"/>
      <c r="F113" s="711"/>
      <c r="G113" s="711"/>
      <c r="H113" s="711"/>
      <c r="I113" s="711"/>
      <c r="J113" s="711"/>
      <c r="K113" s="484"/>
      <c r="L113" s="499"/>
      <c r="M113" s="499"/>
      <c r="N113" s="499"/>
      <c r="O113" s="499"/>
      <c r="P113" s="499"/>
      <c r="Q113" s="476"/>
    </row>
    <row r="114" spans="1:17" ht="15" customHeight="1" x14ac:dyDescent="0.2">
      <c r="A114" s="661"/>
      <c r="B114" s="479"/>
      <c r="C114" s="551"/>
      <c r="D114" s="710"/>
      <c r="E114" s="711"/>
      <c r="F114" s="711"/>
      <c r="G114" s="711"/>
      <c r="H114" s="711"/>
      <c r="I114" s="711"/>
      <c r="J114" s="711"/>
      <c r="K114" s="484"/>
      <c r="L114" s="499"/>
      <c r="M114" s="499"/>
      <c r="N114" s="499"/>
      <c r="O114" s="499"/>
      <c r="P114" s="499"/>
      <c r="Q114" s="476"/>
    </row>
    <row r="115" spans="1:17" ht="5.0999999999999996" customHeight="1" x14ac:dyDescent="0.2">
      <c r="A115" s="661"/>
      <c r="B115" s="479"/>
      <c r="C115" s="551"/>
      <c r="D115" s="422"/>
      <c r="E115" s="712"/>
      <c r="F115" s="712"/>
      <c r="G115" s="712"/>
      <c r="H115" s="712"/>
      <c r="I115" s="712"/>
      <c r="J115" s="712"/>
      <c r="K115" s="484"/>
      <c r="L115" s="499"/>
      <c r="M115" s="499"/>
      <c r="N115" s="499"/>
      <c r="O115" s="499"/>
      <c r="P115" s="499"/>
      <c r="Q115" s="476"/>
    </row>
    <row r="116" spans="1:17" ht="15" customHeight="1" x14ac:dyDescent="0.2">
      <c r="A116" s="653"/>
      <c r="B116" s="513"/>
      <c r="C116" s="701"/>
      <c r="D116" s="287" t="s">
        <v>5</v>
      </c>
      <c r="E116" s="254">
        <f t="shared" ref="E116:J116" si="29">E118</f>
        <v>48435.8</v>
      </c>
      <c r="F116" s="254">
        <f t="shared" si="29"/>
        <v>11383.4</v>
      </c>
      <c r="G116" s="254">
        <f t="shared" si="29"/>
        <v>12616.800000000001</v>
      </c>
      <c r="H116" s="254">
        <f t="shared" si="29"/>
        <v>7145.2</v>
      </c>
      <c r="I116" s="254">
        <f t="shared" si="29"/>
        <v>8645.2000000000007</v>
      </c>
      <c r="J116" s="254">
        <f t="shared" si="29"/>
        <v>8645.2000000000007</v>
      </c>
      <c r="K116" s="691"/>
      <c r="L116" s="708"/>
      <c r="M116" s="708"/>
      <c r="N116" s="708"/>
      <c r="O116" s="708"/>
      <c r="P116" s="708"/>
      <c r="Q116" s="535"/>
    </row>
    <row r="117" spans="1:17" ht="15" customHeight="1" x14ac:dyDescent="0.2">
      <c r="A117" s="654"/>
      <c r="B117" s="514"/>
      <c r="C117" s="687"/>
      <c r="D117" s="287" t="s">
        <v>6</v>
      </c>
      <c r="E117" s="254">
        <f t="shared" ref="E117:J117" si="30">E121</f>
        <v>309274.3</v>
      </c>
      <c r="F117" s="254">
        <f t="shared" si="30"/>
        <v>59581.4</v>
      </c>
      <c r="G117" s="254">
        <f t="shared" si="30"/>
        <v>58120.799999999996</v>
      </c>
      <c r="H117" s="254">
        <f t="shared" si="30"/>
        <v>59783.9</v>
      </c>
      <c r="I117" s="254">
        <f t="shared" si="30"/>
        <v>65894.099999999991</v>
      </c>
      <c r="J117" s="254">
        <f t="shared" si="30"/>
        <v>65894.099999999991</v>
      </c>
      <c r="K117" s="692"/>
      <c r="L117" s="709"/>
      <c r="M117" s="709"/>
      <c r="N117" s="709"/>
      <c r="O117" s="709"/>
      <c r="P117" s="709"/>
      <c r="Q117" s="536"/>
    </row>
    <row r="118" spans="1:17" ht="21.6" customHeight="1" x14ac:dyDescent="0.2">
      <c r="A118" s="582" t="s">
        <v>96</v>
      </c>
      <c r="B118" s="478" t="s">
        <v>110</v>
      </c>
      <c r="C118" s="550" t="s">
        <v>161</v>
      </c>
      <c r="D118" s="290" t="s">
        <v>222</v>
      </c>
      <c r="E118" s="255">
        <f t="shared" ref="E118:J118" si="31">E119</f>
        <v>48435.8</v>
      </c>
      <c r="F118" s="255">
        <f t="shared" si="31"/>
        <v>11383.4</v>
      </c>
      <c r="G118" s="255">
        <f t="shared" si="31"/>
        <v>12616.800000000001</v>
      </c>
      <c r="H118" s="255">
        <f t="shared" si="31"/>
        <v>7145.2</v>
      </c>
      <c r="I118" s="255">
        <f t="shared" si="31"/>
        <v>8645.2000000000007</v>
      </c>
      <c r="J118" s="255">
        <f t="shared" si="31"/>
        <v>8645.2000000000007</v>
      </c>
      <c r="K118" s="483" t="s">
        <v>267</v>
      </c>
      <c r="L118" s="498" t="s">
        <v>236</v>
      </c>
      <c r="M118" s="498" t="s">
        <v>236</v>
      </c>
      <c r="N118" s="498" t="s">
        <v>236</v>
      </c>
      <c r="O118" s="498" t="s">
        <v>236</v>
      </c>
      <c r="P118" s="498" t="s">
        <v>236</v>
      </c>
      <c r="Q118" s="498" t="s">
        <v>51</v>
      </c>
    </row>
    <row r="119" spans="1:17" ht="14.25" customHeight="1" x14ac:dyDescent="0.2">
      <c r="A119" s="653"/>
      <c r="B119" s="513"/>
      <c r="C119" s="701"/>
      <c r="D119" s="695" t="s">
        <v>5</v>
      </c>
      <c r="E119" s="485">
        <f>SUM(F119:J120)</f>
        <v>48435.8</v>
      </c>
      <c r="F119" s="485">
        <v>11383.4</v>
      </c>
      <c r="G119" s="485">
        <f>8645.2+80+3833.6-58+116</f>
        <v>12616.800000000001</v>
      </c>
      <c r="H119" s="485">
        <v>7145.2</v>
      </c>
      <c r="I119" s="485">
        <v>8645.2000000000007</v>
      </c>
      <c r="J119" s="485">
        <v>8645.2000000000007</v>
      </c>
      <c r="K119" s="691"/>
      <c r="L119" s="708"/>
      <c r="M119" s="708"/>
      <c r="N119" s="708"/>
      <c r="O119" s="708"/>
      <c r="P119" s="708"/>
      <c r="Q119" s="693"/>
    </row>
    <row r="120" spans="1:17" ht="14.25" customHeight="1" x14ac:dyDescent="0.2">
      <c r="A120" s="654"/>
      <c r="B120" s="514"/>
      <c r="C120" s="687"/>
      <c r="D120" s="713"/>
      <c r="E120" s="487"/>
      <c r="F120" s="487"/>
      <c r="G120" s="487"/>
      <c r="H120" s="487"/>
      <c r="I120" s="487"/>
      <c r="J120" s="487"/>
      <c r="K120" s="692"/>
      <c r="L120" s="709"/>
      <c r="M120" s="709"/>
      <c r="N120" s="709"/>
      <c r="O120" s="709"/>
      <c r="P120" s="709"/>
      <c r="Q120" s="686"/>
    </row>
    <row r="121" spans="1:17" ht="24" customHeight="1" x14ac:dyDescent="0.2">
      <c r="A121" s="582" t="s">
        <v>97</v>
      </c>
      <c r="B121" s="478" t="s">
        <v>108</v>
      </c>
      <c r="C121" s="550" t="s">
        <v>161</v>
      </c>
      <c r="D121" s="290" t="s">
        <v>265</v>
      </c>
      <c r="E121" s="299">
        <f>SUM(F121:J121)</f>
        <v>309274.3</v>
      </c>
      <c r="F121" s="299">
        <f>SUM(F123:F127)</f>
        <v>59581.4</v>
      </c>
      <c r="G121" s="299">
        <f>SUM(G123:G127)</f>
        <v>58120.799999999996</v>
      </c>
      <c r="H121" s="299">
        <f>SUM(H123:H127)</f>
        <v>59783.9</v>
      </c>
      <c r="I121" s="299">
        <f>SUM(I123:I127)</f>
        <v>65894.099999999991</v>
      </c>
      <c r="J121" s="299">
        <f>SUM(J123:J127)</f>
        <v>65894.099999999991</v>
      </c>
      <c r="K121" s="552"/>
      <c r="L121" s="714"/>
      <c r="M121" s="714"/>
      <c r="N121" s="714"/>
      <c r="O121" s="714"/>
      <c r="P121" s="714"/>
      <c r="Q121" s="498"/>
    </row>
    <row r="122" spans="1:17" ht="24" customHeight="1" x14ac:dyDescent="0.2">
      <c r="A122" s="654"/>
      <c r="B122" s="514"/>
      <c r="C122" s="687"/>
      <c r="D122" s="292" t="s">
        <v>6</v>
      </c>
      <c r="E122" s="288">
        <f t="shared" ref="E122:J122" si="32">SUM(E123:E127)</f>
        <v>309274.3</v>
      </c>
      <c r="F122" s="288">
        <f t="shared" si="32"/>
        <v>59581.4</v>
      </c>
      <c r="G122" s="288">
        <f t="shared" si="32"/>
        <v>58120.799999999996</v>
      </c>
      <c r="H122" s="288">
        <f t="shared" si="32"/>
        <v>59783.9</v>
      </c>
      <c r="I122" s="288">
        <f t="shared" si="32"/>
        <v>65894.099999999991</v>
      </c>
      <c r="J122" s="288">
        <f t="shared" si="32"/>
        <v>65894.099999999991</v>
      </c>
      <c r="K122" s="694"/>
      <c r="L122" s="685"/>
      <c r="M122" s="685"/>
      <c r="N122" s="685"/>
      <c r="O122" s="685"/>
      <c r="P122" s="685"/>
      <c r="Q122" s="686"/>
    </row>
    <row r="123" spans="1:17" ht="26.25" customHeight="1" x14ac:dyDescent="0.2">
      <c r="A123" s="582" t="s">
        <v>112</v>
      </c>
      <c r="B123" s="478" t="s">
        <v>62</v>
      </c>
      <c r="C123" s="537" t="s">
        <v>161</v>
      </c>
      <c r="D123" s="695" t="s">
        <v>6</v>
      </c>
      <c r="E123" s="715">
        <f>SUM(F123:J124)</f>
        <v>307975.09999999998</v>
      </c>
      <c r="F123" s="715">
        <f>62197.9-3100.2</f>
        <v>59097.700000000004</v>
      </c>
      <c r="G123" s="715">
        <f>60023.4-3252.3+1134.2</f>
        <v>57905.299999999996</v>
      </c>
      <c r="H123" s="715">
        <f>61960.9-2377</f>
        <v>59583.9</v>
      </c>
      <c r="I123" s="715">
        <f>66483.2-789.1</f>
        <v>65694.099999999991</v>
      </c>
      <c r="J123" s="715">
        <f>66483.2-789.1</f>
        <v>65694.099999999991</v>
      </c>
      <c r="K123" s="552" t="s">
        <v>263</v>
      </c>
      <c r="L123" s="515" t="s">
        <v>236</v>
      </c>
      <c r="M123" s="515" t="s">
        <v>236</v>
      </c>
      <c r="N123" s="515" t="s">
        <v>236</v>
      </c>
      <c r="O123" s="515" t="s">
        <v>236</v>
      </c>
      <c r="P123" s="515" t="s">
        <v>236</v>
      </c>
      <c r="Q123" s="498" t="s">
        <v>51</v>
      </c>
    </row>
    <row r="124" spans="1:17" ht="21" customHeight="1" x14ac:dyDescent="0.2">
      <c r="A124" s="661"/>
      <c r="B124" s="479"/>
      <c r="C124" s="537"/>
      <c r="D124" s="696"/>
      <c r="E124" s="715"/>
      <c r="F124" s="715"/>
      <c r="G124" s="715"/>
      <c r="H124" s="715"/>
      <c r="I124" s="715"/>
      <c r="J124" s="715"/>
      <c r="K124" s="694"/>
      <c r="L124" s="716"/>
      <c r="M124" s="716"/>
      <c r="N124" s="716"/>
      <c r="O124" s="716"/>
      <c r="P124" s="716"/>
      <c r="Q124" s="499"/>
    </row>
    <row r="125" spans="1:17" ht="24.75" customHeight="1" x14ac:dyDescent="0.2">
      <c r="A125" s="638" t="s">
        <v>111</v>
      </c>
      <c r="B125" s="510" t="s">
        <v>61</v>
      </c>
      <c r="C125" s="537" t="s">
        <v>161</v>
      </c>
      <c r="D125" s="695" t="s">
        <v>6</v>
      </c>
      <c r="E125" s="715">
        <f>SUM(F125:J126)</f>
        <v>483.7</v>
      </c>
      <c r="F125" s="715">
        <v>483.7</v>
      </c>
      <c r="G125" s="715">
        <v>0</v>
      </c>
      <c r="H125" s="715">
        <v>0</v>
      </c>
      <c r="I125" s="715">
        <v>0</v>
      </c>
      <c r="J125" s="715">
        <v>0</v>
      </c>
      <c r="K125" s="552" t="s">
        <v>263</v>
      </c>
      <c r="L125" s="515" t="s">
        <v>236</v>
      </c>
      <c r="M125" s="515" t="s">
        <v>213</v>
      </c>
      <c r="N125" s="515" t="s">
        <v>213</v>
      </c>
      <c r="O125" s="515" t="s">
        <v>213</v>
      </c>
      <c r="P125" s="515" t="s">
        <v>213</v>
      </c>
      <c r="Q125" s="515" t="s">
        <v>51</v>
      </c>
    </row>
    <row r="126" spans="1:17" ht="68.25" customHeight="1" x14ac:dyDescent="0.2">
      <c r="A126" s="638"/>
      <c r="B126" s="510"/>
      <c r="C126" s="537"/>
      <c r="D126" s="713"/>
      <c r="E126" s="717"/>
      <c r="F126" s="717"/>
      <c r="G126" s="717"/>
      <c r="H126" s="717"/>
      <c r="I126" s="717"/>
      <c r="J126" s="717"/>
      <c r="K126" s="694"/>
      <c r="L126" s="716"/>
      <c r="M126" s="716"/>
      <c r="N126" s="716"/>
      <c r="O126" s="716"/>
      <c r="P126" s="716"/>
      <c r="Q126" s="515"/>
    </row>
    <row r="127" spans="1:17" ht="78.75" customHeight="1" x14ac:dyDescent="0.2">
      <c r="A127" s="199" t="s">
        <v>271</v>
      </c>
      <c r="B127" s="300" t="s">
        <v>67</v>
      </c>
      <c r="C127" s="301" t="s">
        <v>272</v>
      </c>
      <c r="D127" s="289" t="s">
        <v>6</v>
      </c>
      <c r="E127" s="302">
        <f>F127+G127+H127+I127+J127</f>
        <v>815.5</v>
      </c>
      <c r="F127" s="302">
        <v>0</v>
      </c>
      <c r="G127" s="302">
        <v>215.5</v>
      </c>
      <c r="H127" s="302">
        <v>200</v>
      </c>
      <c r="I127" s="302">
        <v>200</v>
      </c>
      <c r="J127" s="302">
        <v>200</v>
      </c>
      <c r="K127" s="303" t="s">
        <v>264</v>
      </c>
      <c r="L127" s="304" t="s">
        <v>213</v>
      </c>
      <c r="M127" s="304" t="s">
        <v>236</v>
      </c>
      <c r="N127" s="304" t="s">
        <v>236</v>
      </c>
      <c r="O127" s="304" t="s">
        <v>236</v>
      </c>
      <c r="P127" s="304" t="s">
        <v>236</v>
      </c>
      <c r="Q127" s="305" t="s">
        <v>51</v>
      </c>
    </row>
    <row r="128" spans="1:17" ht="24" customHeight="1" x14ac:dyDescent="0.2">
      <c r="A128" s="582" t="s">
        <v>113</v>
      </c>
      <c r="B128" s="478" t="s">
        <v>60</v>
      </c>
      <c r="C128" s="550" t="s">
        <v>161</v>
      </c>
      <c r="D128" s="688" t="s">
        <v>249</v>
      </c>
      <c r="E128" s="719">
        <f>SUM(F128:J130)</f>
        <v>56787.099999999991</v>
      </c>
      <c r="F128" s="690">
        <f>F131+F132</f>
        <v>13374.299999999997</v>
      </c>
      <c r="G128" s="690">
        <f>G131+G132</f>
        <v>12124.699999999999</v>
      </c>
      <c r="H128" s="690">
        <f>H131+H132</f>
        <v>9357.9</v>
      </c>
      <c r="I128" s="690">
        <f>I131+I132</f>
        <v>10965.099999999999</v>
      </c>
      <c r="J128" s="690">
        <f>J131+J132</f>
        <v>10965.099999999999</v>
      </c>
      <c r="K128" s="478" t="s">
        <v>268</v>
      </c>
      <c r="L128" s="721" t="s">
        <v>269</v>
      </c>
      <c r="M128" s="721" t="s">
        <v>269</v>
      </c>
      <c r="N128" s="721" t="s">
        <v>270</v>
      </c>
      <c r="O128" s="721" t="s">
        <v>270</v>
      </c>
      <c r="P128" s="721" t="s">
        <v>270</v>
      </c>
      <c r="Q128" s="475"/>
    </row>
    <row r="129" spans="1:17" ht="12" customHeight="1" x14ac:dyDescent="0.2">
      <c r="A129" s="661"/>
      <c r="B129" s="479"/>
      <c r="C129" s="551"/>
      <c r="D129" s="718"/>
      <c r="E129" s="720"/>
      <c r="F129" s="711"/>
      <c r="G129" s="711"/>
      <c r="H129" s="711"/>
      <c r="I129" s="711"/>
      <c r="J129" s="711"/>
      <c r="K129" s="479"/>
      <c r="L129" s="722"/>
      <c r="M129" s="722"/>
      <c r="N129" s="722"/>
      <c r="O129" s="722"/>
      <c r="P129" s="722"/>
      <c r="Q129" s="476"/>
    </row>
    <row r="130" spans="1:17" ht="9.75" customHeight="1" x14ac:dyDescent="0.2">
      <c r="A130" s="661"/>
      <c r="B130" s="479"/>
      <c r="C130" s="551"/>
      <c r="D130" s="689"/>
      <c r="E130" s="720"/>
      <c r="F130" s="711"/>
      <c r="G130" s="711"/>
      <c r="H130" s="711"/>
      <c r="I130" s="711"/>
      <c r="J130" s="711"/>
      <c r="K130" s="479"/>
      <c r="L130" s="722"/>
      <c r="M130" s="722"/>
      <c r="N130" s="722"/>
      <c r="O130" s="722"/>
      <c r="P130" s="722"/>
      <c r="Q130" s="476"/>
    </row>
    <row r="131" spans="1:17" ht="12.75" customHeight="1" x14ac:dyDescent="0.2">
      <c r="A131" s="653"/>
      <c r="B131" s="513"/>
      <c r="C131" s="701"/>
      <c r="D131" s="287" t="s">
        <v>5</v>
      </c>
      <c r="E131" s="288">
        <f t="shared" ref="E131:J131" si="33">E134</f>
        <v>49574.599999999991</v>
      </c>
      <c r="F131" s="288">
        <f t="shared" si="33"/>
        <v>11842.399999999998</v>
      </c>
      <c r="G131" s="288">
        <f t="shared" si="33"/>
        <v>10576.8</v>
      </c>
      <c r="H131" s="288">
        <f t="shared" si="33"/>
        <v>8051.8</v>
      </c>
      <c r="I131" s="288">
        <f t="shared" si="33"/>
        <v>9551.7999999999993</v>
      </c>
      <c r="J131" s="288">
        <f t="shared" si="33"/>
        <v>9551.7999999999993</v>
      </c>
      <c r="K131" s="513"/>
      <c r="L131" s="722"/>
      <c r="M131" s="722"/>
      <c r="N131" s="722"/>
      <c r="O131" s="722"/>
      <c r="P131" s="722"/>
      <c r="Q131" s="535"/>
    </row>
    <row r="132" spans="1:17" ht="12.75" customHeight="1" x14ac:dyDescent="0.2">
      <c r="A132" s="654"/>
      <c r="B132" s="514"/>
      <c r="C132" s="687"/>
      <c r="D132" s="287" t="s">
        <v>6</v>
      </c>
      <c r="E132" s="288">
        <f t="shared" ref="E132:J132" si="34">E137</f>
        <v>7212.5</v>
      </c>
      <c r="F132" s="288">
        <f t="shared" si="34"/>
        <v>1531.9</v>
      </c>
      <c r="G132" s="288">
        <f t="shared" si="34"/>
        <v>1547.9</v>
      </c>
      <c r="H132" s="288">
        <f t="shared" si="34"/>
        <v>1306.0999999999999</v>
      </c>
      <c r="I132" s="288">
        <f t="shared" si="34"/>
        <v>1413.3</v>
      </c>
      <c r="J132" s="288">
        <f t="shared" si="34"/>
        <v>1413.3</v>
      </c>
      <c r="K132" s="514"/>
      <c r="L132" s="723"/>
      <c r="M132" s="723"/>
      <c r="N132" s="723"/>
      <c r="O132" s="723"/>
      <c r="P132" s="723"/>
      <c r="Q132" s="536"/>
    </row>
    <row r="133" spans="1:17" ht="24.6" customHeight="1" x14ac:dyDescent="0.2">
      <c r="A133" s="582" t="s">
        <v>98</v>
      </c>
      <c r="B133" s="478" t="s">
        <v>114</v>
      </c>
      <c r="C133" s="550" t="s">
        <v>161</v>
      </c>
      <c r="D133" s="290" t="s">
        <v>265</v>
      </c>
      <c r="E133" s="299">
        <f t="shared" ref="E133:J133" si="35">E134</f>
        <v>49574.599999999991</v>
      </c>
      <c r="F133" s="299">
        <f t="shared" si="35"/>
        <v>11842.399999999998</v>
      </c>
      <c r="G133" s="299">
        <f t="shared" si="35"/>
        <v>10576.8</v>
      </c>
      <c r="H133" s="299">
        <f t="shared" si="35"/>
        <v>8051.8</v>
      </c>
      <c r="I133" s="299">
        <f t="shared" si="35"/>
        <v>9551.7999999999993</v>
      </c>
      <c r="J133" s="299">
        <f t="shared" si="35"/>
        <v>9551.7999999999993</v>
      </c>
      <c r="K133" s="552" t="s">
        <v>267</v>
      </c>
      <c r="L133" s="721" t="s">
        <v>236</v>
      </c>
      <c r="M133" s="721" t="s">
        <v>236</v>
      </c>
      <c r="N133" s="721" t="s">
        <v>236</v>
      </c>
      <c r="O133" s="721" t="s">
        <v>236</v>
      </c>
      <c r="P133" s="721" t="s">
        <v>236</v>
      </c>
      <c r="Q133" s="515" t="s">
        <v>142</v>
      </c>
    </row>
    <row r="134" spans="1:17" ht="9" customHeight="1" x14ac:dyDescent="0.2">
      <c r="A134" s="653"/>
      <c r="B134" s="513"/>
      <c r="C134" s="701"/>
      <c r="D134" s="695" t="s">
        <v>5</v>
      </c>
      <c r="E134" s="715">
        <f>SUM(F134:J135)</f>
        <v>49574.599999999991</v>
      </c>
      <c r="F134" s="485">
        <f>10904.3-89.1-29.7+1056.9</f>
        <v>11842.399999999998</v>
      </c>
      <c r="G134" s="485">
        <f>9551.8+1105-80</f>
        <v>10576.8</v>
      </c>
      <c r="H134" s="485">
        <v>8051.8</v>
      </c>
      <c r="I134" s="485">
        <v>9551.7999999999993</v>
      </c>
      <c r="J134" s="485">
        <v>9551.7999999999993</v>
      </c>
      <c r="K134" s="724"/>
      <c r="L134" s="722"/>
      <c r="M134" s="722"/>
      <c r="N134" s="722"/>
      <c r="O134" s="722"/>
      <c r="P134" s="722"/>
      <c r="Q134" s="685"/>
    </row>
    <row r="135" spans="1:17" ht="5.25" customHeight="1" x14ac:dyDescent="0.2">
      <c r="A135" s="654"/>
      <c r="B135" s="514"/>
      <c r="C135" s="687"/>
      <c r="D135" s="713"/>
      <c r="E135" s="717"/>
      <c r="F135" s="487"/>
      <c r="G135" s="487"/>
      <c r="H135" s="487"/>
      <c r="I135" s="487"/>
      <c r="J135" s="487"/>
      <c r="K135" s="724"/>
      <c r="L135" s="723"/>
      <c r="M135" s="723"/>
      <c r="N135" s="723"/>
      <c r="O135" s="723"/>
      <c r="P135" s="723"/>
      <c r="Q135" s="685"/>
    </row>
    <row r="136" spans="1:17" ht="26.1" customHeight="1" x14ac:dyDescent="0.2">
      <c r="A136" s="638" t="s">
        <v>115</v>
      </c>
      <c r="B136" s="510" t="s">
        <v>67</v>
      </c>
      <c r="C136" s="550" t="s">
        <v>161</v>
      </c>
      <c r="D136" s="290" t="s">
        <v>265</v>
      </c>
      <c r="E136" s="306">
        <f t="shared" ref="E136:J136" si="36">E137</f>
        <v>7212.5</v>
      </c>
      <c r="F136" s="306">
        <f t="shared" si="36"/>
        <v>1531.9</v>
      </c>
      <c r="G136" s="306">
        <f t="shared" si="36"/>
        <v>1547.9</v>
      </c>
      <c r="H136" s="306">
        <f t="shared" si="36"/>
        <v>1306.0999999999999</v>
      </c>
      <c r="I136" s="306">
        <f t="shared" si="36"/>
        <v>1413.3</v>
      </c>
      <c r="J136" s="306">
        <f t="shared" si="36"/>
        <v>1413.3</v>
      </c>
      <c r="K136" s="483" t="s">
        <v>264</v>
      </c>
      <c r="L136" s="498" t="s">
        <v>236</v>
      </c>
      <c r="M136" s="498" t="s">
        <v>236</v>
      </c>
      <c r="N136" s="498" t="s">
        <v>236</v>
      </c>
      <c r="O136" s="498" t="s">
        <v>236</v>
      </c>
      <c r="P136" s="498" t="s">
        <v>236</v>
      </c>
      <c r="Q136" s="498" t="s">
        <v>142</v>
      </c>
    </row>
    <row r="137" spans="1:17" ht="17.100000000000001" customHeight="1" x14ac:dyDescent="0.2">
      <c r="A137" s="652"/>
      <c r="B137" s="725"/>
      <c r="C137" s="701"/>
      <c r="D137" s="695" t="s">
        <v>6</v>
      </c>
      <c r="E137" s="494">
        <f>SUM(F137:J140)</f>
        <v>7212.5</v>
      </c>
      <c r="F137" s="494">
        <v>1531.9</v>
      </c>
      <c r="G137" s="494">
        <v>1547.9</v>
      </c>
      <c r="H137" s="494">
        <f>1606.1-300</f>
        <v>1306.0999999999999</v>
      </c>
      <c r="I137" s="494">
        <f>1706.1-292.8</f>
        <v>1413.3</v>
      </c>
      <c r="J137" s="494">
        <f>1706.1-292.8</f>
        <v>1413.3</v>
      </c>
      <c r="K137" s="691"/>
      <c r="L137" s="726"/>
      <c r="M137" s="726"/>
      <c r="N137" s="726"/>
      <c r="O137" s="726"/>
      <c r="P137" s="726"/>
      <c r="Q137" s="693"/>
    </row>
    <row r="138" spans="1:17" ht="11.45" customHeight="1" x14ac:dyDescent="0.2">
      <c r="A138" s="652"/>
      <c r="B138" s="725"/>
      <c r="C138" s="701"/>
      <c r="D138" s="697"/>
      <c r="E138" s="494"/>
      <c r="F138" s="494"/>
      <c r="G138" s="494"/>
      <c r="H138" s="494"/>
      <c r="I138" s="494"/>
      <c r="J138" s="494"/>
      <c r="K138" s="691"/>
      <c r="L138" s="726"/>
      <c r="M138" s="726"/>
      <c r="N138" s="726"/>
      <c r="O138" s="726"/>
      <c r="P138" s="726"/>
      <c r="Q138" s="693"/>
    </row>
    <row r="139" spans="1:17" ht="27.75" customHeight="1" thickBot="1" x14ac:dyDescent="0.25">
      <c r="A139" s="652"/>
      <c r="B139" s="725"/>
      <c r="C139" s="701"/>
      <c r="D139" s="697"/>
      <c r="E139" s="494"/>
      <c r="F139" s="494"/>
      <c r="G139" s="494"/>
      <c r="H139" s="494"/>
      <c r="I139" s="494"/>
      <c r="J139" s="494"/>
      <c r="K139" s="691"/>
      <c r="L139" s="726"/>
      <c r="M139" s="726"/>
      <c r="N139" s="726"/>
      <c r="O139" s="726"/>
      <c r="P139" s="726"/>
      <c r="Q139" s="693"/>
    </row>
    <row r="140" spans="1:17" ht="13.35" hidden="1" customHeight="1" x14ac:dyDescent="0.2">
      <c r="A140" s="652"/>
      <c r="B140" s="725"/>
      <c r="C140" s="701"/>
      <c r="D140" s="697"/>
      <c r="E140" s="485"/>
      <c r="F140" s="485"/>
      <c r="G140" s="485"/>
      <c r="H140" s="485"/>
      <c r="I140" s="485"/>
      <c r="J140" s="485"/>
      <c r="K140" s="692"/>
      <c r="L140" s="727"/>
      <c r="M140" s="727"/>
      <c r="N140" s="727"/>
      <c r="O140" s="727"/>
      <c r="P140" s="727"/>
      <c r="Q140" s="686"/>
    </row>
    <row r="141" spans="1:17" ht="12" customHeight="1" x14ac:dyDescent="0.2">
      <c r="A141" s="612"/>
      <c r="B141" s="549" t="s">
        <v>49</v>
      </c>
      <c r="C141" s="537"/>
      <c r="D141" s="307" t="s">
        <v>11</v>
      </c>
      <c r="E141" s="728">
        <f t="shared" ref="E141:J141" si="37">SUM(E143:E144)</f>
        <v>778213.6</v>
      </c>
      <c r="F141" s="728">
        <f t="shared" si="37"/>
        <v>159427.1</v>
      </c>
      <c r="G141" s="728">
        <f t="shared" si="37"/>
        <v>158005.79999999999</v>
      </c>
      <c r="H141" s="728">
        <f t="shared" si="37"/>
        <v>143553.90000000002</v>
      </c>
      <c r="I141" s="728">
        <f t="shared" si="37"/>
        <v>158613.4</v>
      </c>
      <c r="J141" s="730">
        <f t="shared" si="37"/>
        <v>158613.4</v>
      </c>
      <c r="K141" s="732"/>
      <c r="L141" s="733"/>
      <c r="M141" s="733"/>
      <c r="N141" s="733"/>
      <c r="O141" s="733"/>
      <c r="P141" s="733"/>
      <c r="Q141" s="495"/>
    </row>
    <row r="142" spans="1:17" ht="12" customHeight="1" x14ac:dyDescent="0.2">
      <c r="A142" s="612"/>
      <c r="B142" s="549"/>
      <c r="C142" s="537"/>
      <c r="D142" s="308" t="s">
        <v>12</v>
      </c>
      <c r="E142" s="729"/>
      <c r="F142" s="729"/>
      <c r="G142" s="729"/>
      <c r="H142" s="729"/>
      <c r="I142" s="729"/>
      <c r="J142" s="731"/>
      <c r="K142" s="732"/>
      <c r="L142" s="734"/>
      <c r="M142" s="734"/>
      <c r="N142" s="734"/>
      <c r="O142" s="734"/>
      <c r="P142" s="734"/>
      <c r="Q142" s="495"/>
    </row>
    <row r="143" spans="1:17" ht="12" customHeight="1" x14ac:dyDescent="0.2">
      <c r="A143" s="612"/>
      <c r="B143" s="549"/>
      <c r="C143" s="537"/>
      <c r="D143" s="309" t="s">
        <v>5</v>
      </c>
      <c r="E143" s="288">
        <f>SUM(F143:J143)</f>
        <v>221562.1</v>
      </c>
      <c r="F143" s="288">
        <f>SUM(F134,F119,F92)</f>
        <v>51717.2</v>
      </c>
      <c r="G143" s="288">
        <f>SUM(G134,G119,G92)</f>
        <v>49577.599999999999</v>
      </c>
      <c r="H143" s="288">
        <f>SUM(H134,H119,H92)</f>
        <v>36089.1</v>
      </c>
      <c r="I143" s="288">
        <f>SUM(I134,I119,I92)</f>
        <v>42089.1</v>
      </c>
      <c r="J143" s="310">
        <f>SUM(J134,J119,J92)</f>
        <v>42089.1</v>
      </c>
      <c r="K143" s="732"/>
      <c r="L143" s="734"/>
      <c r="M143" s="734"/>
      <c r="N143" s="734"/>
      <c r="O143" s="734"/>
      <c r="P143" s="734"/>
      <c r="Q143" s="495"/>
    </row>
    <row r="144" spans="1:17" ht="12" customHeight="1" thickBot="1" x14ac:dyDescent="0.25">
      <c r="A144" s="612"/>
      <c r="B144" s="549"/>
      <c r="C144" s="537"/>
      <c r="D144" s="311" t="s">
        <v>6</v>
      </c>
      <c r="E144" s="312">
        <f>SUM(F144:J144)</f>
        <v>556651.5</v>
      </c>
      <c r="F144" s="312">
        <f>SUM(F137,F125,F123,F110,F108,F105,F102,F99,F97)</f>
        <v>107709.90000000001</v>
      </c>
      <c r="G144" s="312">
        <f>G117+G132+G90</f>
        <v>108428.2</v>
      </c>
      <c r="H144" s="312">
        <f>H117+H132+H90</f>
        <v>107464.80000000002</v>
      </c>
      <c r="I144" s="312">
        <f>I117+I132+I90</f>
        <v>116524.3</v>
      </c>
      <c r="J144" s="313">
        <f>J117+J132+J90</f>
        <v>116524.3</v>
      </c>
      <c r="K144" s="732"/>
      <c r="L144" s="734"/>
      <c r="M144" s="734"/>
      <c r="N144" s="734"/>
      <c r="O144" s="734"/>
      <c r="P144" s="734"/>
      <c r="Q144" s="495"/>
    </row>
    <row r="145" spans="1:17" ht="15" customHeight="1" x14ac:dyDescent="0.2">
      <c r="A145" s="97" t="s">
        <v>116</v>
      </c>
      <c r="B145" s="736" t="s">
        <v>117</v>
      </c>
      <c r="C145" s="737"/>
      <c r="D145" s="737"/>
      <c r="E145" s="737"/>
      <c r="F145" s="737"/>
      <c r="G145" s="737"/>
      <c r="H145" s="737"/>
      <c r="I145" s="737"/>
      <c r="J145" s="737"/>
      <c r="K145" s="737"/>
      <c r="L145" s="737"/>
      <c r="M145" s="737"/>
      <c r="N145" s="737"/>
      <c r="O145" s="737"/>
      <c r="P145" s="737"/>
      <c r="Q145" s="738"/>
    </row>
    <row r="146" spans="1:17" ht="81.75" customHeight="1" x14ac:dyDescent="0.2">
      <c r="A146" s="199" t="s">
        <v>118</v>
      </c>
      <c r="B146" s="300" t="s">
        <v>71</v>
      </c>
      <c r="C146" s="495" t="s">
        <v>161</v>
      </c>
      <c r="D146" s="290" t="s">
        <v>296</v>
      </c>
      <c r="E146" s="259">
        <f t="shared" ref="E146:J146" si="38">SUM(E147:E149)</f>
        <v>1153.5999999999999</v>
      </c>
      <c r="F146" s="259">
        <f t="shared" si="38"/>
        <v>294.5</v>
      </c>
      <c r="G146" s="259">
        <f t="shared" si="38"/>
        <v>351.2</v>
      </c>
      <c r="H146" s="259">
        <f t="shared" si="38"/>
        <v>166.7</v>
      </c>
      <c r="I146" s="259">
        <f t="shared" si="38"/>
        <v>170.6</v>
      </c>
      <c r="J146" s="259">
        <f t="shared" si="38"/>
        <v>170.6</v>
      </c>
      <c r="K146" s="483" t="s">
        <v>273</v>
      </c>
      <c r="L146" s="314" t="s">
        <v>236</v>
      </c>
      <c r="M146" s="314" t="s">
        <v>236</v>
      </c>
      <c r="N146" s="314" t="s">
        <v>236</v>
      </c>
      <c r="O146" s="314" t="s">
        <v>236</v>
      </c>
      <c r="P146" s="314" t="s">
        <v>236</v>
      </c>
      <c r="Q146" s="498" t="s">
        <v>51</v>
      </c>
    </row>
    <row r="147" spans="1:17" ht="48" customHeight="1" x14ac:dyDescent="0.2">
      <c r="A147" s="735" t="s">
        <v>287</v>
      </c>
      <c r="B147" s="511" t="s">
        <v>286</v>
      </c>
      <c r="C147" s="739"/>
      <c r="D147" s="734" t="s">
        <v>6</v>
      </c>
      <c r="E147" s="494">
        <f>SUM(F147:J148)</f>
        <v>742.6</v>
      </c>
      <c r="F147" s="715">
        <v>98.5</v>
      </c>
      <c r="G147" s="715">
        <f>136.6-0.4</f>
        <v>136.19999999999999</v>
      </c>
      <c r="H147" s="715">
        <f>130+36.7</f>
        <v>166.7</v>
      </c>
      <c r="I147" s="715">
        <f>118.5+52.1</f>
        <v>170.6</v>
      </c>
      <c r="J147" s="715">
        <f>118.5+52.1</f>
        <v>170.6</v>
      </c>
      <c r="K147" s="691"/>
      <c r="L147" s="502">
        <v>100</v>
      </c>
      <c r="M147" s="502">
        <v>100</v>
      </c>
      <c r="N147" s="502">
        <v>100</v>
      </c>
      <c r="O147" s="502">
        <v>100</v>
      </c>
      <c r="P147" s="502">
        <v>100</v>
      </c>
      <c r="Q147" s="740"/>
    </row>
    <row r="148" spans="1:17" ht="30.75" customHeight="1" x14ac:dyDescent="0.2">
      <c r="A148" s="652"/>
      <c r="B148" s="514"/>
      <c r="C148" s="739"/>
      <c r="D148" s="734"/>
      <c r="E148" s="734"/>
      <c r="F148" s="715"/>
      <c r="G148" s="715"/>
      <c r="H148" s="715"/>
      <c r="I148" s="715"/>
      <c r="J148" s="715"/>
      <c r="K148" s="691"/>
      <c r="L148" s="504"/>
      <c r="M148" s="504"/>
      <c r="N148" s="504"/>
      <c r="O148" s="504"/>
      <c r="P148" s="504"/>
      <c r="Q148" s="740"/>
    </row>
    <row r="149" spans="1:17" ht="25.5" customHeight="1" x14ac:dyDescent="0.2">
      <c r="A149" s="204" t="s">
        <v>288</v>
      </c>
      <c r="B149" s="300" t="s">
        <v>204</v>
      </c>
      <c r="C149" s="739"/>
      <c r="D149" s="287" t="s">
        <v>5</v>
      </c>
      <c r="E149" s="288">
        <f>F149+G149+H149+I149+J149</f>
        <v>411</v>
      </c>
      <c r="F149" s="288">
        <v>196</v>
      </c>
      <c r="G149" s="288">
        <v>215</v>
      </c>
      <c r="H149" s="288">
        <v>0</v>
      </c>
      <c r="I149" s="288">
        <v>0</v>
      </c>
      <c r="J149" s="288">
        <v>0</v>
      </c>
      <c r="K149" s="692"/>
      <c r="L149" s="253">
        <v>100</v>
      </c>
      <c r="M149" s="253">
        <v>100</v>
      </c>
      <c r="N149" s="253">
        <v>0</v>
      </c>
      <c r="O149" s="253">
        <v>0</v>
      </c>
      <c r="P149" s="253">
        <v>0</v>
      </c>
      <c r="Q149" s="741"/>
    </row>
    <row r="150" spans="1:17" ht="21.6" customHeight="1" x14ac:dyDescent="0.2">
      <c r="A150" s="582" t="s">
        <v>119</v>
      </c>
      <c r="B150" s="478" t="s">
        <v>70</v>
      </c>
      <c r="C150" s="550" t="s">
        <v>161</v>
      </c>
      <c r="D150" s="290" t="s">
        <v>296</v>
      </c>
      <c r="E150" s="299">
        <f t="shared" ref="E150:J150" si="39">SUM(E151:E152)</f>
        <v>12792.5</v>
      </c>
      <c r="F150" s="299">
        <f t="shared" si="39"/>
        <v>2294.6999999999998</v>
      </c>
      <c r="G150" s="299">
        <f t="shared" si="39"/>
        <v>2711</v>
      </c>
      <c r="H150" s="299">
        <f t="shared" si="39"/>
        <v>2595.6000000000004</v>
      </c>
      <c r="I150" s="299">
        <f t="shared" si="39"/>
        <v>2595.6000000000004</v>
      </c>
      <c r="J150" s="299">
        <f t="shared" si="39"/>
        <v>2595.6000000000004</v>
      </c>
      <c r="K150" s="483" t="s">
        <v>274</v>
      </c>
      <c r="L150" s="498" t="s">
        <v>275</v>
      </c>
      <c r="M150" s="498" t="s">
        <v>275</v>
      </c>
      <c r="N150" s="498" t="s">
        <v>275</v>
      </c>
      <c r="O150" s="498" t="s">
        <v>275</v>
      </c>
      <c r="P150" s="498" t="s">
        <v>275</v>
      </c>
      <c r="Q150" s="498" t="s">
        <v>51</v>
      </c>
    </row>
    <row r="151" spans="1:17" ht="15.75" customHeight="1" x14ac:dyDescent="0.2">
      <c r="A151" s="615"/>
      <c r="B151" s="513"/>
      <c r="C151" s="743"/>
      <c r="D151" s="287" t="s">
        <v>5</v>
      </c>
      <c r="E151" s="254">
        <f>SUM(F151:J151)</f>
        <v>5399.3</v>
      </c>
      <c r="F151" s="254">
        <f>1250-18.7-196</f>
        <v>1035.3</v>
      </c>
      <c r="G151" s="254">
        <f>1000+364</f>
        <v>1364</v>
      </c>
      <c r="H151" s="254">
        <v>1000</v>
      </c>
      <c r="I151" s="254">
        <v>1000</v>
      </c>
      <c r="J151" s="254">
        <v>1000</v>
      </c>
      <c r="K151" s="691"/>
      <c r="L151" s="499"/>
      <c r="M151" s="499"/>
      <c r="N151" s="499"/>
      <c r="O151" s="499"/>
      <c r="P151" s="499"/>
      <c r="Q151" s="693"/>
    </row>
    <row r="152" spans="1:17" ht="21" customHeight="1" x14ac:dyDescent="0.2">
      <c r="A152" s="616"/>
      <c r="B152" s="514"/>
      <c r="C152" s="744"/>
      <c r="D152" s="287" t="s">
        <v>6</v>
      </c>
      <c r="E152" s="254">
        <f>SUM(F152:J152)</f>
        <v>7393.2000000000007</v>
      </c>
      <c r="F152" s="254">
        <v>1259.4000000000001</v>
      </c>
      <c r="G152" s="254">
        <f>1258.9+88.1</f>
        <v>1347</v>
      </c>
      <c r="H152" s="254">
        <f>1258.9+336.7</f>
        <v>1595.6000000000001</v>
      </c>
      <c r="I152" s="254">
        <f>1258.9+336.7</f>
        <v>1595.6000000000001</v>
      </c>
      <c r="J152" s="254">
        <f>1258.9+336.7</f>
        <v>1595.6000000000001</v>
      </c>
      <c r="K152" s="692"/>
      <c r="L152" s="500"/>
      <c r="M152" s="500"/>
      <c r="N152" s="500"/>
      <c r="O152" s="500"/>
      <c r="P152" s="500"/>
      <c r="Q152" s="686"/>
    </row>
    <row r="153" spans="1:17" ht="14.25" customHeight="1" x14ac:dyDescent="0.2">
      <c r="A153" s="582" t="s">
        <v>120</v>
      </c>
      <c r="B153" s="478" t="s">
        <v>133</v>
      </c>
      <c r="C153" s="550" t="s">
        <v>161</v>
      </c>
      <c r="D153" s="688" t="s">
        <v>296</v>
      </c>
      <c r="E153" s="742">
        <f t="shared" ref="E153:J153" si="40">SUM(E157,E163)</f>
        <v>715.4</v>
      </c>
      <c r="F153" s="742">
        <f t="shared" si="40"/>
        <v>607.4</v>
      </c>
      <c r="G153" s="742">
        <f t="shared" si="40"/>
        <v>27</v>
      </c>
      <c r="H153" s="742">
        <f t="shared" si="40"/>
        <v>27</v>
      </c>
      <c r="I153" s="742">
        <f t="shared" si="40"/>
        <v>27</v>
      </c>
      <c r="J153" s="742">
        <f t="shared" si="40"/>
        <v>27</v>
      </c>
      <c r="K153" s="483" t="s">
        <v>263</v>
      </c>
      <c r="L153" s="498" t="s">
        <v>236</v>
      </c>
      <c r="M153" s="498" t="s">
        <v>236</v>
      </c>
      <c r="N153" s="498" t="s">
        <v>236</v>
      </c>
      <c r="O153" s="498" t="s">
        <v>236</v>
      </c>
      <c r="P153" s="498" t="s">
        <v>236</v>
      </c>
      <c r="Q153" s="498" t="s">
        <v>51</v>
      </c>
    </row>
    <row r="154" spans="1:17" ht="11.25" customHeight="1" x14ac:dyDescent="0.2">
      <c r="A154" s="661"/>
      <c r="B154" s="479"/>
      <c r="C154" s="551"/>
      <c r="D154" s="689"/>
      <c r="E154" s="742"/>
      <c r="F154" s="742"/>
      <c r="G154" s="742"/>
      <c r="H154" s="742"/>
      <c r="I154" s="742"/>
      <c r="J154" s="742"/>
      <c r="K154" s="484"/>
      <c r="L154" s="499"/>
      <c r="M154" s="499"/>
      <c r="N154" s="499"/>
      <c r="O154" s="499"/>
      <c r="P154" s="499"/>
      <c r="Q154" s="499"/>
    </row>
    <row r="155" spans="1:17" ht="11.25" customHeight="1" x14ac:dyDescent="0.2">
      <c r="A155" s="654"/>
      <c r="B155" s="514"/>
      <c r="C155" s="687"/>
      <c r="D155" s="289" t="s">
        <v>5</v>
      </c>
      <c r="E155" s="254">
        <f t="shared" ref="E155:J155" si="41">E153</f>
        <v>715.4</v>
      </c>
      <c r="F155" s="254">
        <f t="shared" si="41"/>
        <v>607.4</v>
      </c>
      <c r="G155" s="254">
        <f t="shared" si="41"/>
        <v>27</v>
      </c>
      <c r="H155" s="254">
        <f t="shared" si="41"/>
        <v>27</v>
      </c>
      <c r="I155" s="254">
        <f t="shared" si="41"/>
        <v>27</v>
      </c>
      <c r="J155" s="254">
        <f t="shared" si="41"/>
        <v>27</v>
      </c>
      <c r="K155" s="692"/>
      <c r="L155" s="500"/>
      <c r="M155" s="500"/>
      <c r="N155" s="500"/>
      <c r="O155" s="500"/>
      <c r="P155" s="500"/>
      <c r="Q155" s="686"/>
    </row>
    <row r="156" spans="1:17" ht="21" customHeight="1" x14ac:dyDescent="0.2">
      <c r="A156" s="582" t="s">
        <v>121</v>
      </c>
      <c r="B156" s="478" t="s">
        <v>68</v>
      </c>
      <c r="C156" s="550" t="s">
        <v>161</v>
      </c>
      <c r="D156" s="290" t="s">
        <v>296</v>
      </c>
      <c r="E156" s="255">
        <f t="shared" ref="E156:J156" si="42">E157</f>
        <v>542.4</v>
      </c>
      <c r="F156" s="255">
        <f t="shared" si="42"/>
        <v>542.4</v>
      </c>
      <c r="G156" s="255">
        <f t="shared" si="42"/>
        <v>0</v>
      </c>
      <c r="H156" s="255">
        <f t="shared" si="42"/>
        <v>0</v>
      </c>
      <c r="I156" s="255">
        <f t="shared" si="42"/>
        <v>0</v>
      </c>
      <c r="J156" s="255">
        <f t="shared" si="42"/>
        <v>0</v>
      </c>
      <c r="K156" s="483" t="s">
        <v>279</v>
      </c>
      <c r="L156" s="745" t="s">
        <v>276</v>
      </c>
      <c r="M156" s="745" t="s">
        <v>277</v>
      </c>
      <c r="N156" s="745" t="s">
        <v>278</v>
      </c>
      <c r="O156" s="745" t="s">
        <v>278</v>
      </c>
      <c r="P156" s="745" t="s">
        <v>278</v>
      </c>
      <c r="Q156" s="498" t="s">
        <v>51</v>
      </c>
    </row>
    <row r="157" spans="1:17" ht="21.6" customHeight="1" x14ac:dyDescent="0.2">
      <c r="A157" s="653"/>
      <c r="B157" s="513"/>
      <c r="C157" s="701"/>
      <c r="D157" s="695" t="s">
        <v>5</v>
      </c>
      <c r="E157" s="485">
        <f>SUM(F157:H158)</f>
        <v>542.4</v>
      </c>
      <c r="F157" s="485">
        <f>250+292.4</f>
        <v>542.4</v>
      </c>
      <c r="G157" s="485">
        <v>0</v>
      </c>
      <c r="H157" s="485">
        <v>0</v>
      </c>
      <c r="I157" s="485">
        <v>0</v>
      </c>
      <c r="J157" s="485">
        <v>0</v>
      </c>
      <c r="K157" s="691"/>
      <c r="L157" s="499"/>
      <c r="M157" s="499"/>
      <c r="N157" s="499"/>
      <c r="O157" s="499"/>
      <c r="P157" s="499"/>
      <c r="Q157" s="693"/>
    </row>
    <row r="158" spans="1:17" ht="7.35" customHeight="1" x14ac:dyDescent="0.2">
      <c r="A158" s="654"/>
      <c r="B158" s="514"/>
      <c r="C158" s="687"/>
      <c r="D158" s="713"/>
      <c r="E158" s="487"/>
      <c r="F158" s="487"/>
      <c r="G158" s="487"/>
      <c r="H158" s="487"/>
      <c r="I158" s="487"/>
      <c r="J158" s="487"/>
      <c r="K158" s="692"/>
      <c r="L158" s="500"/>
      <c r="M158" s="500"/>
      <c r="N158" s="500"/>
      <c r="O158" s="500"/>
      <c r="P158" s="500"/>
      <c r="Q158" s="686"/>
    </row>
    <row r="159" spans="1:17" ht="24" customHeight="1" x14ac:dyDescent="0.2">
      <c r="A159" s="582" t="s">
        <v>122</v>
      </c>
      <c r="B159" s="478" t="s">
        <v>153</v>
      </c>
      <c r="C159" s="550" t="s">
        <v>161</v>
      </c>
      <c r="D159" s="290" t="s">
        <v>296</v>
      </c>
      <c r="E159" s="230">
        <f t="shared" ref="E159:J159" si="43">E160</f>
        <v>0</v>
      </c>
      <c r="F159" s="230">
        <f t="shared" si="43"/>
        <v>0</v>
      </c>
      <c r="G159" s="230">
        <f t="shared" si="43"/>
        <v>0</v>
      </c>
      <c r="H159" s="230">
        <f t="shared" si="43"/>
        <v>0</v>
      </c>
      <c r="I159" s="230">
        <f t="shared" si="43"/>
        <v>0</v>
      </c>
      <c r="J159" s="230">
        <f t="shared" si="43"/>
        <v>0</v>
      </c>
      <c r="K159" s="483" t="s">
        <v>281</v>
      </c>
      <c r="L159" s="745" t="s">
        <v>280</v>
      </c>
      <c r="M159" s="745" t="s">
        <v>282</v>
      </c>
      <c r="N159" s="745" t="s">
        <v>283</v>
      </c>
      <c r="O159" s="745" t="s">
        <v>283</v>
      </c>
      <c r="P159" s="745" t="s">
        <v>283</v>
      </c>
      <c r="Q159" s="498" t="s">
        <v>51</v>
      </c>
    </row>
    <row r="160" spans="1:17" ht="17.45" customHeight="1" x14ac:dyDescent="0.2">
      <c r="A160" s="653"/>
      <c r="B160" s="513"/>
      <c r="C160" s="701"/>
      <c r="D160" s="695" t="s">
        <v>5</v>
      </c>
      <c r="E160" s="485">
        <f>SUM(F160:H161)</f>
        <v>0</v>
      </c>
      <c r="F160" s="485">
        <f>20-20</f>
        <v>0</v>
      </c>
      <c r="G160" s="485">
        <v>0</v>
      </c>
      <c r="H160" s="485">
        <v>0</v>
      </c>
      <c r="I160" s="485">
        <v>0</v>
      </c>
      <c r="J160" s="485">
        <v>0</v>
      </c>
      <c r="K160" s="691"/>
      <c r="L160" s="708"/>
      <c r="M160" s="708"/>
      <c r="N160" s="708"/>
      <c r="O160" s="708"/>
      <c r="P160" s="708"/>
      <c r="Q160" s="693"/>
    </row>
    <row r="161" spans="1:17" ht="12" customHeight="1" x14ac:dyDescent="0.2">
      <c r="A161" s="654"/>
      <c r="B161" s="514"/>
      <c r="C161" s="687"/>
      <c r="D161" s="713"/>
      <c r="E161" s="487"/>
      <c r="F161" s="487"/>
      <c r="G161" s="487"/>
      <c r="H161" s="487"/>
      <c r="I161" s="487"/>
      <c r="J161" s="487"/>
      <c r="K161" s="692"/>
      <c r="L161" s="709"/>
      <c r="M161" s="709"/>
      <c r="N161" s="709"/>
      <c r="O161" s="709"/>
      <c r="P161" s="709"/>
      <c r="Q161" s="686"/>
    </row>
    <row r="162" spans="1:17" ht="21.75" customHeight="1" x14ac:dyDescent="0.2">
      <c r="A162" s="582" t="s">
        <v>123</v>
      </c>
      <c r="B162" s="478" t="s">
        <v>69</v>
      </c>
      <c r="C162" s="550" t="s">
        <v>161</v>
      </c>
      <c r="D162" s="290" t="s">
        <v>296</v>
      </c>
      <c r="E162" s="230">
        <f t="shared" ref="E162:J162" si="44">E163</f>
        <v>173</v>
      </c>
      <c r="F162" s="230">
        <f t="shared" si="44"/>
        <v>65</v>
      </c>
      <c r="G162" s="230">
        <f t="shared" si="44"/>
        <v>27</v>
      </c>
      <c r="H162" s="230">
        <f t="shared" si="44"/>
        <v>27</v>
      </c>
      <c r="I162" s="230">
        <f t="shared" si="44"/>
        <v>27</v>
      </c>
      <c r="J162" s="230">
        <f t="shared" si="44"/>
        <v>27</v>
      </c>
      <c r="K162" s="483" t="s">
        <v>284</v>
      </c>
      <c r="L162" s="745" t="s">
        <v>236</v>
      </c>
      <c r="M162" s="745" t="s">
        <v>236</v>
      </c>
      <c r="N162" s="745" t="s">
        <v>236</v>
      </c>
      <c r="O162" s="745" t="s">
        <v>236</v>
      </c>
      <c r="P162" s="745" t="s">
        <v>236</v>
      </c>
      <c r="Q162" s="498" t="s">
        <v>51</v>
      </c>
    </row>
    <row r="163" spans="1:17" ht="22.35" customHeight="1" x14ac:dyDescent="0.2">
      <c r="A163" s="653"/>
      <c r="B163" s="513"/>
      <c r="C163" s="701"/>
      <c r="D163" s="695" t="s">
        <v>5</v>
      </c>
      <c r="E163" s="485">
        <f>SUM(F163:J163)</f>
        <v>173</v>
      </c>
      <c r="F163" s="485">
        <v>65</v>
      </c>
      <c r="G163" s="485">
        <v>27</v>
      </c>
      <c r="H163" s="485">
        <v>27</v>
      </c>
      <c r="I163" s="485">
        <v>27</v>
      </c>
      <c r="J163" s="485">
        <v>27</v>
      </c>
      <c r="K163" s="692"/>
      <c r="L163" s="686"/>
      <c r="M163" s="686"/>
      <c r="N163" s="686"/>
      <c r="O163" s="686"/>
      <c r="P163" s="686"/>
      <c r="Q163" s="693"/>
    </row>
    <row r="164" spans="1:17" ht="23.25" customHeight="1" thickBot="1" x14ac:dyDescent="0.25">
      <c r="A164" s="654"/>
      <c r="B164" s="514"/>
      <c r="C164" s="687"/>
      <c r="D164" s="696"/>
      <c r="E164" s="486"/>
      <c r="F164" s="486"/>
      <c r="G164" s="486"/>
      <c r="H164" s="486"/>
      <c r="I164" s="486"/>
      <c r="J164" s="486"/>
      <c r="K164" s="315" t="s">
        <v>285</v>
      </c>
      <c r="L164" s="314" t="s">
        <v>236</v>
      </c>
      <c r="M164" s="314" t="s">
        <v>236</v>
      </c>
      <c r="N164" s="314" t="s">
        <v>236</v>
      </c>
      <c r="O164" s="314" t="s">
        <v>236</v>
      </c>
      <c r="P164" s="314" t="s">
        <v>236</v>
      </c>
      <c r="Q164" s="686"/>
    </row>
    <row r="165" spans="1:17" ht="12" customHeight="1" x14ac:dyDescent="0.2">
      <c r="A165" s="612"/>
      <c r="B165" s="549" t="s">
        <v>124</v>
      </c>
      <c r="C165" s="537"/>
      <c r="D165" s="307" t="s">
        <v>11</v>
      </c>
      <c r="E165" s="728">
        <f t="shared" ref="E165:J165" si="45">SUM(E167:E168)</f>
        <v>14661.5</v>
      </c>
      <c r="F165" s="728">
        <f t="shared" si="45"/>
        <v>3196.6</v>
      </c>
      <c r="G165" s="728">
        <f t="shared" si="45"/>
        <v>3089.2</v>
      </c>
      <c r="H165" s="728">
        <f t="shared" si="45"/>
        <v>2789.3</v>
      </c>
      <c r="I165" s="728">
        <f t="shared" si="45"/>
        <v>2793.2</v>
      </c>
      <c r="J165" s="730">
        <f t="shared" si="45"/>
        <v>2793.2</v>
      </c>
      <c r="K165" s="746"/>
      <c r="L165" s="733"/>
      <c r="M165" s="733"/>
      <c r="N165" s="733"/>
      <c r="O165" s="733"/>
      <c r="P165" s="733"/>
      <c r="Q165" s="495"/>
    </row>
    <row r="166" spans="1:17" ht="12" customHeight="1" x14ac:dyDescent="0.2">
      <c r="A166" s="612"/>
      <c r="B166" s="549"/>
      <c r="C166" s="537"/>
      <c r="D166" s="308" t="s">
        <v>297</v>
      </c>
      <c r="E166" s="729"/>
      <c r="F166" s="729"/>
      <c r="G166" s="729"/>
      <c r="H166" s="729"/>
      <c r="I166" s="729"/>
      <c r="J166" s="731"/>
      <c r="K166" s="747"/>
      <c r="L166" s="734"/>
      <c r="M166" s="734"/>
      <c r="N166" s="734"/>
      <c r="O166" s="734"/>
      <c r="P166" s="734"/>
      <c r="Q166" s="495"/>
    </row>
    <row r="167" spans="1:17" ht="12" customHeight="1" x14ac:dyDescent="0.2">
      <c r="A167" s="612"/>
      <c r="B167" s="549"/>
      <c r="C167" s="537"/>
      <c r="D167" s="309" t="s">
        <v>5</v>
      </c>
      <c r="E167" s="288">
        <f>SUM(F167:J167)</f>
        <v>6525.7</v>
      </c>
      <c r="F167" s="288">
        <f>SUM(F153,F151,F149)</f>
        <v>1838.6999999999998</v>
      </c>
      <c r="G167" s="288">
        <f>SUM(G153,G151,G149)</f>
        <v>1606</v>
      </c>
      <c r="H167" s="288">
        <f>SUM(H153,H151,H149)</f>
        <v>1027</v>
      </c>
      <c r="I167" s="288">
        <f>SUM(I153,I151,I149)</f>
        <v>1027</v>
      </c>
      <c r="J167" s="310">
        <f>SUM(J153,J151,J149)</f>
        <v>1027</v>
      </c>
      <c r="K167" s="747"/>
      <c r="L167" s="734"/>
      <c r="M167" s="734"/>
      <c r="N167" s="734"/>
      <c r="O167" s="734"/>
      <c r="P167" s="734"/>
      <c r="Q167" s="495"/>
    </row>
    <row r="168" spans="1:17" ht="12" customHeight="1" thickBot="1" x14ac:dyDescent="0.25">
      <c r="A168" s="612"/>
      <c r="B168" s="753"/>
      <c r="C168" s="754"/>
      <c r="D168" s="316" t="s">
        <v>6</v>
      </c>
      <c r="E168" s="302">
        <f>SUM(F168:J168)</f>
        <v>8135.8</v>
      </c>
      <c r="F168" s="302">
        <f>SUM(F147,F152)</f>
        <v>1357.9</v>
      </c>
      <c r="G168" s="302">
        <f>SUM(G147,G152)</f>
        <v>1483.2</v>
      </c>
      <c r="H168" s="302">
        <f>SUM(H147,H152)</f>
        <v>1762.3000000000002</v>
      </c>
      <c r="I168" s="302">
        <f>SUM(I147,I152)</f>
        <v>1766.2</v>
      </c>
      <c r="J168" s="317">
        <f>SUM(J147,J152)</f>
        <v>1766.2</v>
      </c>
      <c r="K168" s="748"/>
      <c r="L168" s="734"/>
      <c r="M168" s="734"/>
      <c r="N168" s="734"/>
      <c r="O168" s="734"/>
      <c r="P168" s="734"/>
      <c r="Q168" s="495"/>
    </row>
    <row r="169" spans="1:17" ht="15.75" customHeight="1" x14ac:dyDescent="0.2">
      <c r="A169" s="613"/>
      <c r="B169" s="538" t="s">
        <v>13</v>
      </c>
      <c r="C169" s="537"/>
      <c r="D169" s="749" t="s">
        <v>296</v>
      </c>
      <c r="E169" s="751">
        <f t="shared" ref="E169:J169" si="46">SUM(E171:E172)</f>
        <v>808286.40000000014</v>
      </c>
      <c r="F169" s="728">
        <f t="shared" si="46"/>
        <v>173578.2</v>
      </c>
      <c r="G169" s="751">
        <f>SUM(G171:G172)</f>
        <v>164366.79999999999</v>
      </c>
      <c r="H169" s="728">
        <f t="shared" si="46"/>
        <v>146738.20000000001</v>
      </c>
      <c r="I169" s="728">
        <f t="shared" si="46"/>
        <v>161801.60000000001</v>
      </c>
      <c r="J169" s="730">
        <f t="shared" si="46"/>
        <v>161801.60000000001</v>
      </c>
      <c r="K169" s="732"/>
      <c r="L169" s="734"/>
      <c r="M169" s="734"/>
      <c r="N169" s="734"/>
      <c r="O169" s="734"/>
      <c r="P169" s="734"/>
      <c r="Q169" s="495"/>
    </row>
    <row r="170" spans="1:17" ht="15.75" customHeight="1" x14ac:dyDescent="0.2">
      <c r="A170" s="613"/>
      <c r="B170" s="538"/>
      <c r="C170" s="537"/>
      <c r="D170" s="750"/>
      <c r="E170" s="752"/>
      <c r="F170" s="729"/>
      <c r="G170" s="752"/>
      <c r="H170" s="729"/>
      <c r="I170" s="729"/>
      <c r="J170" s="731"/>
      <c r="K170" s="732"/>
      <c r="L170" s="734"/>
      <c r="M170" s="734"/>
      <c r="N170" s="734"/>
      <c r="O170" s="734"/>
      <c r="P170" s="734"/>
      <c r="Q170" s="495"/>
    </row>
    <row r="171" spans="1:17" ht="15.75" customHeight="1" x14ac:dyDescent="0.2">
      <c r="A171" s="613"/>
      <c r="B171" s="538"/>
      <c r="C171" s="537"/>
      <c r="D171" s="308" t="s">
        <v>5</v>
      </c>
      <c r="E171" s="209">
        <f>SUM(F171:J171)</f>
        <v>242910.80000000002</v>
      </c>
      <c r="F171" s="299">
        <f>SUM(F167,F143,F82,F35,F25,F15)</f>
        <v>64241.399999999994</v>
      </c>
      <c r="G171" s="209">
        <f>SUM(G167,G143,G82,G35,G25,G15,)</f>
        <v>54136.1</v>
      </c>
      <c r="H171" s="299">
        <f>SUM(H167,H143,H82,H35,H25,H15)</f>
        <v>37511.1</v>
      </c>
      <c r="I171" s="299">
        <f>SUM(I167,I143,I82,I35,I25,I15)</f>
        <v>43511.1</v>
      </c>
      <c r="J171" s="318">
        <f>SUM(J167,J143,J82,J35,J25,J15)</f>
        <v>43511.1</v>
      </c>
      <c r="K171" s="732"/>
      <c r="L171" s="734"/>
      <c r="M171" s="734"/>
      <c r="N171" s="734"/>
      <c r="O171" s="734"/>
      <c r="P171" s="734"/>
      <c r="Q171" s="495"/>
    </row>
    <row r="172" spans="1:17" ht="15.75" customHeight="1" thickBot="1" x14ac:dyDescent="0.25">
      <c r="A172" s="613"/>
      <c r="B172" s="538"/>
      <c r="C172" s="537"/>
      <c r="D172" s="319" t="s">
        <v>6</v>
      </c>
      <c r="E172" s="320">
        <f>SUM(F172:J172)</f>
        <v>565375.60000000009</v>
      </c>
      <c r="F172" s="320">
        <f>SUM(F168,F144,F83)</f>
        <v>109336.8</v>
      </c>
      <c r="G172" s="320">
        <f>SUM(G168,G144,G83)</f>
        <v>110230.7</v>
      </c>
      <c r="H172" s="320">
        <f>SUM(H168,H144)</f>
        <v>109227.10000000002</v>
      </c>
      <c r="I172" s="320">
        <f>SUM(I168,I144)</f>
        <v>118290.5</v>
      </c>
      <c r="J172" s="321">
        <f>SUM(J168,J144)</f>
        <v>118290.5</v>
      </c>
      <c r="K172" s="732"/>
      <c r="L172" s="734"/>
      <c r="M172" s="734"/>
      <c r="N172" s="734"/>
      <c r="O172" s="734"/>
      <c r="P172" s="734"/>
      <c r="Q172" s="495"/>
    </row>
    <row r="173" spans="1:17" ht="18.75" customHeight="1" x14ac:dyDescent="0.2">
      <c r="B173" s="233"/>
      <c r="C173" s="322"/>
      <c r="D173" s="323"/>
      <c r="E173" s="323"/>
      <c r="F173" s="323"/>
      <c r="G173" s="323"/>
      <c r="H173" s="323"/>
      <c r="I173" s="323"/>
      <c r="J173" s="323"/>
      <c r="K173" s="324"/>
      <c r="L173" s="323"/>
      <c r="M173" s="323"/>
      <c r="N173" s="323"/>
      <c r="O173" s="323"/>
      <c r="P173" s="323"/>
      <c r="Q173" s="325"/>
    </row>
    <row r="174" spans="1:17" ht="18.75" customHeight="1" x14ac:dyDescent="0.2">
      <c r="B174" s="233"/>
      <c r="C174" s="322"/>
      <c r="D174" s="323"/>
      <c r="E174" s="323"/>
      <c r="F174" s="323"/>
      <c r="G174" s="323"/>
      <c r="H174" s="323"/>
      <c r="I174" s="323"/>
      <c r="J174" s="323"/>
      <c r="K174" s="324"/>
      <c r="L174" s="323"/>
      <c r="M174" s="323"/>
      <c r="N174" s="323"/>
      <c r="O174" s="323"/>
      <c r="P174" s="323"/>
      <c r="Q174" s="325"/>
    </row>
    <row r="175" spans="1:17" ht="18.75" customHeight="1" x14ac:dyDescent="0.2">
      <c r="B175" s="233"/>
      <c r="C175" s="322"/>
      <c r="D175" s="323"/>
      <c r="E175" s="323"/>
      <c r="F175" s="326"/>
      <c r="G175" s="323"/>
      <c r="H175" s="323"/>
      <c r="I175" s="323"/>
      <c r="J175" s="323"/>
      <c r="K175" s="324"/>
      <c r="L175" s="323"/>
      <c r="M175" s="323"/>
      <c r="N175" s="323"/>
      <c r="O175" s="323"/>
      <c r="P175" s="323"/>
      <c r="Q175" s="325"/>
    </row>
    <row r="176" spans="1:17" ht="18.75" customHeight="1" x14ac:dyDescent="0.2">
      <c r="B176" s="233"/>
      <c r="C176" s="322"/>
      <c r="D176" s="323"/>
      <c r="E176" s="323"/>
      <c r="F176" s="326"/>
      <c r="G176" s="326"/>
      <c r="H176" s="323"/>
      <c r="I176" s="326"/>
      <c r="J176" s="323"/>
      <c r="K176" s="324"/>
      <c r="L176" s="323"/>
      <c r="M176" s="323"/>
      <c r="N176" s="323"/>
      <c r="O176" s="323"/>
      <c r="P176" s="323"/>
      <c r="Q176" s="325"/>
    </row>
  </sheetData>
  <mergeCells count="674">
    <mergeCell ref="N165:N168"/>
    <mergeCell ref="O165:O168"/>
    <mergeCell ref="P165:P168"/>
    <mergeCell ref="Q165:Q168"/>
    <mergeCell ref="A169:A172"/>
    <mergeCell ref="B169:B172"/>
    <mergeCell ref="C169:C172"/>
    <mergeCell ref="D169:D170"/>
    <mergeCell ref="E169:E170"/>
    <mergeCell ref="M169:M172"/>
    <mergeCell ref="N169:N172"/>
    <mergeCell ref="O169:O172"/>
    <mergeCell ref="P169:P172"/>
    <mergeCell ref="Q169:Q172"/>
    <mergeCell ref="G169:G170"/>
    <mergeCell ref="H169:H170"/>
    <mergeCell ref="I169:I170"/>
    <mergeCell ref="J169:J170"/>
    <mergeCell ref="K169:K172"/>
    <mergeCell ref="M165:M168"/>
    <mergeCell ref="A165:A168"/>
    <mergeCell ref="B165:B168"/>
    <mergeCell ref="C165:C168"/>
    <mergeCell ref="E165:E166"/>
    <mergeCell ref="F165:F166"/>
    <mergeCell ref="G165:G166"/>
    <mergeCell ref="F169:F170"/>
    <mergeCell ref="H165:H166"/>
    <mergeCell ref="I165:I166"/>
    <mergeCell ref="J165:J166"/>
    <mergeCell ref="K165:K168"/>
    <mergeCell ref="L165:L168"/>
    <mergeCell ref="L169:L172"/>
    <mergeCell ref="O162:O163"/>
    <mergeCell ref="P162:P163"/>
    <mergeCell ref="Q162:Q164"/>
    <mergeCell ref="D163:D164"/>
    <mergeCell ref="E163:E164"/>
    <mergeCell ref="F163:F164"/>
    <mergeCell ref="G163:G164"/>
    <mergeCell ref="H163:H164"/>
    <mergeCell ref="I163:I164"/>
    <mergeCell ref="I160:I161"/>
    <mergeCell ref="A162:A164"/>
    <mergeCell ref="B162:B164"/>
    <mergeCell ref="C162:C164"/>
    <mergeCell ref="K162:K163"/>
    <mergeCell ref="L162:L163"/>
    <mergeCell ref="M162:M163"/>
    <mergeCell ref="J163:J164"/>
    <mergeCell ref="N162:N163"/>
    <mergeCell ref="P156:P158"/>
    <mergeCell ref="Q156:Q158"/>
    <mergeCell ref="D157:D158"/>
    <mergeCell ref="E157:E158"/>
    <mergeCell ref="F157:F158"/>
    <mergeCell ref="G157:G158"/>
    <mergeCell ref="H157:H158"/>
    <mergeCell ref="I157:I158"/>
    <mergeCell ref="A159:A161"/>
    <mergeCell ref="B159:B161"/>
    <mergeCell ref="C159:C161"/>
    <mergeCell ref="K159:K161"/>
    <mergeCell ref="L159:L161"/>
    <mergeCell ref="M159:M161"/>
    <mergeCell ref="J160:J161"/>
    <mergeCell ref="N159:N161"/>
    <mergeCell ref="O159:O161"/>
    <mergeCell ref="P159:P161"/>
    <mergeCell ref="Q159:Q161"/>
    <mergeCell ref="D160:D161"/>
    <mergeCell ref="E160:E161"/>
    <mergeCell ref="F160:F161"/>
    <mergeCell ref="G160:G161"/>
    <mergeCell ref="H160:H161"/>
    <mergeCell ref="A156:A158"/>
    <mergeCell ref="B156:B158"/>
    <mergeCell ref="C156:C158"/>
    <mergeCell ref="K156:K158"/>
    <mergeCell ref="L156:L158"/>
    <mergeCell ref="M156:M158"/>
    <mergeCell ref="J157:J158"/>
    <mergeCell ref="N156:N158"/>
    <mergeCell ref="O156:O158"/>
    <mergeCell ref="J153:J154"/>
    <mergeCell ref="K153:K155"/>
    <mergeCell ref="L153:L155"/>
    <mergeCell ref="M153:M155"/>
    <mergeCell ref="N153:N155"/>
    <mergeCell ref="O153:O155"/>
    <mergeCell ref="P153:P155"/>
    <mergeCell ref="Q153:Q155"/>
    <mergeCell ref="A150:A152"/>
    <mergeCell ref="B150:B152"/>
    <mergeCell ref="C150:C152"/>
    <mergeCell ref="K150:K152"/>
    <mergeCell ref="L150:L152"/>
    <mergeCell ref="M150:M152"/>
    <mergeCell ref="A153:A155"/>
    <mergeCell ref="B153:B155"/>
    <mergeCell ref="C153:C155"/>
    <mergeCell ref="D153:D154"/>
    <mergeCell ref="E153:E154"/>
    <mergeCell ref="F153:F154"/>
    <mergeCell ref="G153:G154"/>
    <mergeCell ref="H153:H154"/>
    <mergeCell ref="I153:I154"/>
    <mergeCell ref="N150:N152"/>
    <mergeCell ref="O150:O152"/>
    <mergeCell ref="P150:P152"/>
    <mergeCell ref="B145:Q145"/>
    <mergeCell ref="C146:C149"/>
    <mergeCell ref="K146:K149"/>
    <mergeCell ref="Q146:Q149"/>
    <mergeCell ref="H147:H148"/>
    <mergeCell ref="I147:I148"/>
    <mergeCell ref="J147:J148"/>
    <mergeCell ref="O147:O148"/>
    <mergeCell ref="P147:P148"/>
    <mergeCell ref="Q150:Q152"/>
    <mergeCell ref="A147:A148"/>
    <mergeCell ref="B147:B148"/>
    <mergeCell ref="D147:D148"/>
    <mergeCell ref="E147:E148"/>
    <mergeCell ref="F147:F148"/>
    <mergeCell ref="G147:G148"/>
    <mergeCell ref="L147:L148"/>
    <mergeCell ref="M147:M148"/>
    <mergeCell ref="N147:N148"/>
    <mergeCell ref="M136:M140"/>
    <mergeCell ref="N136:N140"/>
    <mergeCell ref="O136:O140"/>
    <mergeCell ref="P136:P140"/>
    <mergeCell ref="Q136:Q140"/>
    <mergeCell ref="H137:H140"/>
    <mergeCell ref="I137:I140"/>
    <mergeCell ref="J137:J140"/>
    <mergeCell ref="A141:A144"/>
    <mergeCell ref="B141:B144"/>
    <mergeCell ref="C141:C144"/>
    <mergeCell ref="E141:E142"/>
    <mergeCell ref="F141:F142"/>
    <mergeCell ref="G141:G142"/>
    <mergeCell ref="H141:H142"/>
    <mergeCell ref="I141:I142"/>
    <mergeCell ref="J141:J142"/>
    <mergeCell ref="K141:K144"/>
    <mergeCell ref="L141:L144"/>
    <mergeCell ref="M141:M144"/>
    <mergeCell ref="N141:N144"/>
    <mergeCell ref="O141:O144"/>
    <mergeCell ref="P141:P144"/>
    <mergeCell ref="Q141:Q144"/>
    <mergeCell ref="A136:A140"/>
    <mergeCell ref="B136:B140"/>
    <mergeCell ref="C136:C140"/>
    <mergeCell ref="K136:K140"/>
    <mergeCell ref="D137:D140"/>
    <mergeCell ref="E137:E140"/>
    <mergeCell ref="F137:F140"/>
    <mergeCell ref="G137:G140"/>
    <mergeCell ref="L136:L140"/>
    <mergeCell ref="Q128:Q132"/>
    <mergeCell ref="A133:A135"/>
    <mergeCell ref="B133:B135"/>
    <mergeCell ref="C133:C135"/>
    <mergeCell ref="K133:K135"/>
    <mergeCell ref="L133:L135"/>
    <mergeCell ref="M133:M135"/>
    <mergeCell ref="N133:N135"/>
    <mergeCell ref="O133:O135"/>
    <mergeCell ref="P133:P135"/>
    <mergeCell ref="Q133:Q135"/>
    <mergeCell ref="D134:D135"/>
    <mergeCell ref="E134:E135"/>
    <mergeCell ref="F134:F135"/>
    <mergeCell ref="G134:G135"/>
    <mergeCell ref="H134:H135"/>
    <mergeCell ref="I134:I135"/>
    <mergeCell ref="J134:J135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A128:A132"/>
    <mergeCell ref="B128:B132"/>
    <mergeCell ref="C128:C132"/>
    <mergeCell ref="D128:D130"/>
    <mergeCell ref="E128:E130"/>
    <mergeCell ref="F128:F130"/>
    <mergeCell ref="G128:G130"/>
    <mergeCell ref="H128:H130"/>
    <mergeCell ref="I128:I130"/>
    <mergeCell ref="J128:J130"/>
    <mergeCell ref="K128:K132"/>
    <mergeCell ref="L128:L132"/>
    <mergeCell ref="M128:M132"/>
    <mergeCell ref="N128:N132"/>
    <mergeCell ref="O128:O132"/>
    <mergeCell ref="P128:P132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J119:J120"/>
    <mergeCell ref="A121:A122"/>
    <mergeCell ref="B121:B122"/>
    <mergeCell ref="C121:C122"/>
    <mergeCell ref="K121:K122"/>
    <mergeCell ref="L121:L122"/>
    <mergeCell ref="M121:M122"/>
    <mergeCell ref="N121:N122"/>
    <mergeCell ref="O121:O122"/>
    <mergeCell ref="J112:J115"/>
    <mergeCell ref="K112:K117"/>
    <mergeCell ref="L112:L117"/>
    <mergeCell ref="M112:M117"/>
    <mergeCell ref="N112:N117"/>
    <mergeCell ref="O112:O117"/>
    <mergeCell ref="P112:P117"/>
    <mergeCell ref="Q112:Q117"/>
    <mergeCell ref="A118:A120"/>
    <mergeCell ref="B118:B120"/>
    <mergeCell ref="C118:C120"/>
    <mergeCell ref="K118:K120"/>
    <mergeCell ref="L118:L120"/>
    <mergeCell ref="M118:M120"/>
    <mergeCell ref="N118:N120"/>
    <mergeCell ref="O118:O120"/>
    <mergeCell ref="P118:P120"/>
    <mergeCell ref="Q118:Q120"/>
    <mergeCell ref="D119:D120"/>
    <mergeCell ref="E119:E120"/>
    <mergeCell ref="F119:F120"/>
    <mergeCell ref="G119:G120"/>
    <mergeCell ref="H119:H120"/>
    <mergeCell ref="I119:I120"/>
    <mergeCell ref="A112:A117"/>
    <mergeCell ref="B112:B117"/>
    <mergeCell ref="C112:C117"/>
    <mergeCell ref="D112:D115"/>
    <mergeCell ref="E112:E115"/>
    <mergeCell ref="F112:F115"/>
    <mergeCell ref="G112:G115"/>
    <mergeCell ref="H112:H115"/>
    <mergeCell ref="I112:I115"/>
    <mergeCell ref="A109:A111"/>
    <mergeCell ref="B109:B111"/>
    <mergeCell ref="C109:C111"/>
    <mergeCell ref="K109:K111"/>
    <mergeCell ref="L109:L111"/>
    <mergeCell ref="M109:M111"/>
    <mergeCell ref="N109:N111"/>
    <mergeCell ref="O109:O111"/>
    <mergeCell ref="P109:P111"/>
    <mergeCell ref="Q104:Q105"/>
    <mergeCell ref="A107:A108"/>
    <mergeCell ref="B107:B108"/>
    <mergeCell ref="C107:C108"/>
    <mergeCell ref="K107:K108"/>
    <mergeCell ref="L107:L108"/>
    <mergeCell ref="M107:M108"/>
    <mergeCell ref="N107:N108"/>
    <mergeCell ref="O107:O108"/>
    <mergeCell ref="P107:P108"/>
    <mergeCell ref="A104:A105"/>
    <mergeCell ref="B104:B105"/>
    <mergeCell ref="C104:C106"/>
    <mergeCell ref="K104:K105"/>
    <mergeCell ref="L104:L105"/>
    <mergeCell ref="M104:M105"/>
    <mergeCell ref="N104:N105"/>
    <mergeCell ref="O104:O105"/>
    <mergeCell ref="P104:P105"/>
    <mergeCell ref="P96:P100"/>
    <mergeCell ref="Q96:Q100"/>
    <mergeCell ref="D97:D100"/>
    <mergeCell ref="E97:E100"/>
    <mergeCell ref="F97:F100"/>
    <mergeCell ref="G97:G100"/>
    <mergeCell ref="H97:H100"/>
    <mergeCell ref="I97:I100"/>
    <mergeCell ref="A101:A103"/>
    <mergeCell ref="B101:B103"/>
    <mergeCell ref="C101:C103"/>
    <mergeCell ref="K101:K103"/>
    <mergeCell ref="L101:L103"/>
    <mergeCell ref="M101:M103"/>
    <mergeCell ref="N101:N103"/>
    <mergeCell ref="O101:O103"/>
    <mergeCell ref="P101:P103"/>
    <mergeCell ref="A96:A100"/>
    <mergeCell ref="B96:B100"/>
    <mergeCell ref="C96:C100"/>
    <mergeCell ref="K96:K100"/>
    <mergeCell ref="L96:L100"/>
    <mergeCell ref="M96:M100"/>
    <mergeCell ref="J97:J100"/>
    <mergeCell ref="N96:N100"/>
    <mergeCell ref="O96:O100"/>
    <mergeCell ref="Q91:Q92"/>
    <mergeCell ref="A93:A95"/>
    <mergeCell ref="B93:B95"/>
    <mergeCell ref="C93:C95"/>
    <mergeCell ref="D93:D94"/>
    <mergeCell ref="E93:E94"/>
    <mergeCell ref="F93:F94"/>
    <mergeCell ref="G93:G94"/>
    <mergeCell ref="H93:H94"/>
    <mergeCell ref="I93:I94"/>
    <mergeCell ref="J93:J94"/>
    <mergeCell ref="K93:K95"/>
    <mergeCell ref="L93:L95"/>
    <mergeCell ref="M93:M95"/>
    <mergeCell ref="N93:N95"/>
    <mergeCell ref="O93:O95"/>
    <mergeCell ref="P93:P95"/>
    <mergeCell ref="Q93:Q95"/>
    <mergeCell ref="A91:A92"/>
    <mergeCell ref="B91:B92"/>
    <mergeCell ref="C91:C92"/>
    <mergeCell ref="K91:K92"/>
    <mergeCell ref="L91:L92"/>
    <mergeCell ref="M91:M92"/>
    <mergeCell ref="N91:N92"/>
    <mergeCell ref="O91:O92"/>
    <mergeCell ref="P91:P92"/>
    <mergeCell ref="B84:Q84"/>
    <mergeCell ref="G80:G81"/>
    <mergeCell ref="H80:H81"/>
    <mergeCell ref="I80:I81"/>
    <mergeCell ref="J80:J81"/>
    <mergeCell ref="J85:J88"/>
    <mergeCell ref="K85:K90"/>
    <mergeCell ref="L85:L90"/>
    <mergeCell ref="M85:M90"/>
    <mergeCell ref="N85:N90"/>
    <mergeCell ref="O85:O90"/>
    <mergeCell ref="P85:P90"/>
    <mergeCell ref="Q85:Q90"/>
    <mergeCell ref="A85:A90"/>
    <mergeCell ref="B85:B90"/>
    <mergeCell ref="C85:C90"/>
    <mergeCell ref="D85:D88"/>
    <mergeCell ref="E85:E88"/>
    <mergeCell ref="F85:F88"/>
    <mergeCell ref="G85:G88"/>
    <mergeCell ref="H85:H88"/>
    <mergeCell ref="I85:I88"/>
    <mergeCell ref="P77:P79"/>
    <mergeCell ref="Q77:Q79"/>
    <mergeCell ref="K80:K83"/>
    <mergeCell ref="L80:L83"/>
    <mergeCell ref="A80:A83"/>
    <mergeCell ref="B80:B83"/>
    <mergeCell ref="C80:C83"/>
    <mergeCell ref="D80:D81"/>
    <mergeCell ref="E80:E81"/>
    <mergeCell ref="F80:F81"/>
    <mergeCell ref="M80:M83"/>
    <mergeCell ref="N80:N83"/>
    <mergeCell ref="O80:O83"/>
    <mergeCell ref="P80:P83"/>
    <mergeCell ref="Q80:Q83"/>
    <mergeCell ref="J75:J76"/>
    <mergeCell ref="A77:A79"/>
    <mergeCell ref="B77:B79"/>
    <mergeCell ref="C77:C79"/>
    <mergeCell ref="K77:K79"/>
    <mergeCell ref="L77:L79"/>
    <mergeCell ref="M77:M79"/>
    <mergeCell ref="N77:N79"/>
    <mergeCell ref="O77:O79"/>
    <mergeCell ref="J68:J71"/>
    <mergeCell ref="K68:K73"/>
    <mergeCell ref="L68:L73"/>
    <mergeCell ref="M68:M73"/>
    <mergeCell ref="N68:N73"/>
    <mergeCell ref="O68:O73"/>
    <mergeCell ref="P68:P73"/>
    <mergeCell ref="Q68:Q73"/>
    <mergeCell ref="A74:A76"/>
    <mergeCell ref="B74:B76"/>
    <mergeCell ref="C74:C76"/>
    <mergeCell ref="K74:K76"/>
    <mergeCell ref="L74:L76"/>
    <mergeCell ref="M74:M76"/>
    <mergeCell ref="N74:N76"/>
    <mergeCell ref="O74:O76"/>
    <mergeCell ref="P74:P76"/>
    <mergeCell ref="Q74:Q76"/>
    <mergeCell ref="D75:D76"/>
    <mergeCell ref="E75:E76"/>
    <mergeCell ref="F75:F76"/>
    <mergeCell ref="G75:G76"/>
    <mergeCell ref="H75:H76"/>
    <mergeCell ref="I75:I76"/>
    <mergeCell ref="A68:A73"/>
    <mergeCell ref="B68:B73"/>
    <mergeCell ref="C68:C73"/>
    <mergeCell ref="D68:D71"/>
    <mergeCell ref="E68:E71"/>
    <mergeCell ref="F68:F71"/>
    <mergeCell ref="G68:G71"/>
    <mergeCell ref="H68:H71"/>
    <mergeCell ref="I68:I71"/>
    <mergeCell ref="O63:O64"/>
    <mergeCell ref="P63:P64"/>
    <mergeCell ref="H61:H62"/>
    <mergeCell ref="I61:I62"/>
    <mergeCell ref="J61:J62"/>
    <mergeCell ref="O60:O62"/>
    <mergeCell ref="P60:P62"/>
    <mergeCell ref="Q63:Q64"/>
    <mergeCell ref="C65:C67"/>
    <mergeCell ref="K65:K67"/>
    <mergeCell ref="L65:L67"/>
    <mergeCell ref="M65:M67"/>
    <mergeCell ref="N65:N67"/>
    <mergeCell ref="O65:O67"/>
    <mergeCell ref="P65:P67"/>
    <mergeCell ref="Q65:Q67"/>
    <mergeCell ref="K63:K64"/>
    <mergeCell ref="Q60:Q62"/>
    <mergeCell ref="A63:A64"/>
    <mergeCell ref="B63:B64"/>
    <mergeCell ref="C63:C64"/>
    <mergeCell ref="L60:L62"/>
    <mergeCell ref="M60:M62"/>
    <mergeCell ref="N60:N62"/>
    <mergeCell ref="G61:G62"/>
    <mergeCell ref="L63:L64"/>
    <mergeCell ref="M63:M64"/>
    <mergeCell ref="N63:N64"/>
    <mergeCell ref="I58:I59"/>
    <mergeCell ref="J58:J59"/>
    <mergeCell ref="A60:A62"/>
    <mergeCell ref="B60:B62"/>
    <mergeCell ref="C60:C62"/>
    <mergeCell ref="K60:K62"/>
    <mergeCell ref="D61:D62"/>
    <mergeCell ref="E61:E62"/>
    <mergeCell ref="F61:F62"/>
    <mergeCell ref="J52:J54"/>
    <mergeCell ref="K52:K56"/>
    <mergeCell ref="L52:L56"/>
    <mergeCell ref="M52:M56"/>
    <mergeCell ref="N52:N56"/>
    <mergeCell ref="O52:O56"/>
    <mergeCell ref="P52:P56"/>
    <mergeCell ref="Q52:Q56"/>
    <mergeCell ref="A57:A59"/>
    <mergeCell ref="B57:B59"/>
    <mergeCell ref="C57:C59"/>
    <mergeCell ref="K57:K59"/>
    <mergeCell ref="L57:L59"/>
    <mergeCell ref="M57:M59"/>
    <mergeCell ref="N57:N59"/>
    <mergeCell ref="O57:O59"/>
    <mergeCell ref="P57:P59"/>
    <mergeCell ref="Q57:Q59"/>
    <mergeCell ref="D58:D59"/>
    <mergeCell ref="E58:E59"/>
    <mergeCell ref="F58:F59"/>
    <mergeCell ref="G58:G59"/>
    <mergeCell ref="H58:H59"/>
    <mergeCell ref="A52:A56"/>
    <mergeCell ref="B52:B56"/>
    <mergeCell ref="C52:C56"/>
    <mergeCell ref="D52:D54"/>
    <mergeCell ref="E52:E54"/>
    <mergeCell ref="F52:F54"/>
    <mergeCell ref="G52:G54"/>
    <mergeCell ref="H52:H54"/>
    <mergeCell ref="I52:I54"/>
    <mergeCell ref="A43:A45"/>
    <mergeCell ref="B43:B45"/>
    <mergeCell ref="C43:C45"/>
    <mergeCell ref="K43:K45"/>
    <mergeCell ref="A46:A48"/>
    <mergeCell ref="B46:B48"/>
    <mergeCell ref="C46:C48"/>
    <mergeCell ref="K46:K48"/>
    <mergeCell ref="A49:A51"/>
    <mergeCell ref="B49:B51"/>
    <mergeCell ref="C49:C51"/>
    <mergeCell ref="K49:K51"/>
    <mergeCell ref="L39:L40"/>
    <mergeCell ref="M39:M40"/>
    <mergeCell ref="N39:N40"/>
    <mergeCell ref="O39:O40"/>
    <mergeCell ref="P39:P40"/>
    <mergeCell ref="Q39:Q40"/>
    <mergeCell ref="E41:E42"/>
    <mergeCell ref="F41:F42"/>
    <mergeCell ref="G41:G42"/>
    <mergeCell ref="H41:H42"/>
    <mergeCell ref="I41:I42"/>
    <mergeCell ref="J41:J42"/>
    <mergeCell ref="L41:L42"/>
    <mergeCell ref="M41:M42"/>
    <mergeCell ref="N41:N42"/>
    <mergeCell ref="O41:O42"/>
    <mergeCell ref="P41:P42"/>
    <mergeCell ref="Q41:Q42"/>
    <mergeCell ref="A38:A42"/>
    <mergeCell ref="B38:B42"/>
    <mergeCell ref="C38:C42"/>
    <mergeCell ref="K38:K42"/>
    <mergeCell ref="D39:D42"/>
    <mergeCell ref="E39:E40"/>
    <mergeCell ref="F39:F40"/>
    <mergeCell ref="G39:G40"/>
    <mergeCell ref="H39:H40"/>
    <mergeCell ref="I39:I40"/>
    <mergeCell ref="J39:J40"/>
    <mergeCell ref="J33:J34"/>
    <mergeCell ref="K33:K36"/>
    <mergeCell ref="L33:L36"/>
    <mergeCell ref="M33:M36"/>
    <mergeCell ref="N33:N36"/>
    <mergeCell ref="O33:O36"/>
    <mergeCell ref="P33:P36"/>
    <mergeCell ref="Q33:Q36"/>
    <mergeCell ref="B37:Q37"/>
    <mergeCell ref="A33:A36"/>
    <mergeCell ref="B33:B36"/>
    <mergeCell ref="C33:C36"/>
    <mergeCell ref="D33:D34"/>
    <mergeCell ref="E33:E34"/>
    <mergeCell ref="F33:F34"/>
    <mergeCell ref="G33:G34"/>
    <mergeCell ref="H33:H34"/>
    <mergeCell ref="I33:I34"/>
    <mergeCell ref="N28:N30"/>
    <mergeCell ref="O28:O30"/>
    <mergeCell ref="P28:P30"/>
    <mergeCell ref="Q28:Q32"/>
    <mergeCell ref="D29:D32"/>
    <mergeCell ref="E29:E32"/>
    <mergeCell ref="F29:F32"/>
    <mergeCell ref="G29:G32"/>
    <mergeCell ref="H29:H32"/>
    <mergeCell ref="I29:I32"/>
    <mergeCell ref="N31:N32"/>
    <mergeCell ref="O31:O32"/>
    <mergeCell ref="P31:P32"/>
    <mergeCell ref="A28:A32"/>
    <mergeCell ref="B28:B32"/>
    <mergeCell ref="C28:C32"/>
    <mergeCell ref="K28:K30"/>
    <mergeCell ref="L28:L30"/>
    <mergeCell ref="M28:M30"/>
    <mergeCell ref="J29:J32"/>
    <mergeCell ref="K31:K32"/>
    <mergeCell ref="L31:L32"/>
    <mergeCell ref="M31:M32"/>
    <mergeCell ref="M23:M26"/>
    <mergeCell ref="N23:N26"/>
    <mergeCell ref="O23:O26"/>
    <mergeCell ref="P23:P26"/>
    <mergeCell ref="Q23:Q26"/>
    <mergeCell ref="B27:Q27"/>
    <mergeCell ref="G23:G24"/>
    <mergeCell ref="H23:H24"/>
    <mergeCell ref="I23:I24"/>
    <mergeCell ref="J23:J24"/>
    <mergeCell ref="A23:A26"/>
    <mergeCell ref="B23:B26"/>
    <mergeCell ref="C23:C26"/>
    <mergeCell ref="D23:D24"/>
    <mergeCell ref="E23:E24"/>
    <mergeCell ref="F23:F24"/>
    <mergeCell ref="K23:K26"/>
    <mergeCell ref="L23:L26"/>
    <mergeCell ref="G21:G22"/>
    <mergeCell ref="H21:H22"/>
    <mergeCell ref="I21:I22"/>
    <mergeCell ref="J21:J22"/>
    <mergeCell ref="A18:A22"/>
    <mergeCell ref="B18:B22"/>
    <mergeCell ref="C18:C22"/>
    <mergeCell ref="N18:N22"/>
    <mergeCell ref="O18:O22"/>
    <mergeCell ref="P18:P22"/>
    <mergeCell ref="Q18:Q22"/>
    <mergeCell ref="D19:D20"/>
    <mergeCell ref="E19:E20"/>
    <mergeCell ref="F19:F20"/>
    <mergeCell ref="G19:G20"/>
    <mergeCell ref="H19:H20"/>
    <mergeCell ref="I19:I20"/>
    <mergeCell ref="K18:K22"/>
    <mergeCell ref="L18:L22"/>
    <mergeCell ref="M18:M22"/>
    <mergeCell ref="J19:J20"/>
    <mergeCell ref="D21:D22"/>
    <mergeCell ref="E21:E22"/>
    <mergeCell ref="F21:F22"/>
    <mergeCell ref="N13:N16"/>
    <mergeCell ref="O13:O16"/>
    <mergeCell ref="P13:P16"/>
    <mergeCell ref="Q13:Q16"/>
    <mergeCell ref="B17:Q17"/>
    <mergeCell ref="G13:G14"/>
    <mergeCell ref="H13:H14"/>
    <mergeCell ref="I13:I14"/>
    <mergeCell ref="J13:J14"/>
    <mergeCell ref="K13:K16"/>
    <mergeCell ref="L13:L16"/>
    <mergeCell ref="A13:A16"/>
    <mergeCell ref="B13:B16"/>
    <mergeCell ref="C13:C16"/>
    <mergeCell ref="D13:D14"/>
    <mergeCell ref="E13:E14"/>
    <mergeCell ref="F13:F14"/>
    <mergeCell ref="M13:M16"/>
    <mergeCell ref="B8:Q8"/>
    <mergeCell ref="B9:Q9"/>
    <mergeCell ref="A10:A12"/>
    <mergeCell ref="B10:B12"/>
    <mergeCell ref="C10:C12"/>
    <mergeCell ref="K10:K12"/>
    <mergeCell ref="L10:L12"/>
    <mergeCell ref="M10:M12"/>
    <mergeCell ref="N10:N12"/>
    <mergeCell ref="O10:O12"/>
    <mergeCell ref="P10:P12"/>
    <mergeCell ref="Q10:Q12"/>
    <mergeCell ref="D11:D12"/>
    <mergeCell ref="E11:E12"/>
    <mergeCell ref="F11:F12"/>
    <mergeCell ref="G11:G12"/>
    <mergeCell ref="H11:H12"/>
    <mergeCell ref="I11:I12"/>
    <mergeCell ref="J11:J12"/>
    <mergeCell ref="G1:Q1"/>
    <mergeCell ref="A3:Q3"/>
    <mergeCell ref="A5:A6"/>
    <mergeCell ref="B5:B6"/>
    <mergeCell ref="C5:C6"/>
    <mergeCell ref="D5:D6"/>
    <mergeCell ref="E5:J5"/>
    <mergeCell ref="K5:P5"/>
    <mergeCell ref="Q5:Q6"/>
    <mergeCell ref="K2:Q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5" orientation="landscape" r:id="rId1"/>
  <ignoredErrors>
    <ignoredError sqref="B86:Q103 L38:P79 L28:P32 B10:Q10 B20:Q22 B19:F19 H19:Q19 C18:Q18 B151:Q172 B150:J150 L150:Q150 B12:Q14 B11:F11 H11:Q11 B16:Q17 B15:F15 H15:Q15 B85:J85 L85:Q85 B105:Q127 B104:J104 L104:Q104 B129:Q144 B128:J128 L128:Q128 B146:Q149 C145:Q145" numberStoredAsText="1"/>
    <ignoredError sqref="E46:E49 G8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74"/>
  <sheetViews>
    <sheetView zoomScaleSheetLayoutView="100" workbookViewId="0">
      <pane ySplit="8" topLeftCell="A9" activePane="bottomLeft" state="frozen"/>
      <selection pane="bottomLeft" activeCell="M2" sqref="A1:XFD1048576"/>
    </sheetView>
  </sheetViews>
  <sheetFormatPr defaultColWidth="19.5703125" defaultRowHeight="18.75" customHeight="1" x14ac:dyDescent="0.2"/>
  <cols>
    <col min="1" max="1" width="6" style="998" customWidth="1"/>
    <col min="2" max="2" width="27.5703125" style="999" customWidth="1"/>
    <col min="3" max="3" width="6.85546875" style="999" customWidth="1"/>
    <col min="4" max="4" width="8" style="999" customWidth="1"/>
    <col min="5" max="5" width="8.42578125" style="1000" customWidth="1"/>
    <col min="6" max="11" width="7.42578125" style="1000" customWidth="1"/>
    <col min="12" max="12" width="36.5703125" style="1005" customWidth="1"/>
    <col min="13" max="18" width="5" style="1000" customWidth="1"/>
    <col min="19" max="19" width="21.42578125" style="1154" customWidth="1"/>
    <col min="20" max="16384" width="19.5703125" style="999"/>
  </cols>
  <sheetData>
    <row r="1" spans="1:22" ht="9" customHeight="1" x14ac:dyDescent="0.2">
      <c r="J1" s="999"/>
      <c r="K1" s="902"/>
      <c r="L1" s="902"/>
      <c r="M1" s="1001"/>
      <c r="N1" s="1001"/>
      <c r="O1" s="1001"/>
      <c r="P1" s="1001"/>
      <c r="Q1" s="1001"/>
      <c r="R1" s="1001"/>
      <c r="S1" s="1001"/>
      <c r="T1" s="902"/>
      <c r="U1" s="902"/>
      <c r="V1" s="902"/>
    </row>
    <row r="2" spans="1:22" ht="21" customHeight="1" x14ac:dyDescent="0.2">
      <c r="I2" s="902"/>
      <c r="J2" s="902"/>
      <c r="K2" s="902"/>
      <c r="L2" s="906"/>
      <c r="M2" s="903" t="s">
        <v>565</v>
      </c>
      <c r="N2" s="903"/>
      <c r="O2" s="903"/>
      <c r="P2" s="903"/>
      <c r="Q2" s="903"/>
      <c r="R2" s="903"/>
      <c r="S2" s="903"/>
    </row>
    <row r="3" spans="1:22" ht="9.75" customHeight="1" x14ac:dyDescent="0.2">
      <c r="H3" s="1002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</row>
    <row r="4" spans="1:22" ht="29.25" customHeight="1" x14ac:dyDescent="0.2">
      <c r="A4" s="1004" t="s">
        <v>320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  <c r="P4" s="1004"/>
      <c r="Q4" s="1004"/>
      <c r="R4" s="1004"/>
      <c r="S4" s="1004"/>
    </row>
    <row r="5" spans="1:22" ht="9" customHeight="1" x14ac:dyDescent="0.2">
      <c r="S5" s="1006"/>
    </row>
    <row r="6" spans="1:22" ht="21.75" customHeight="1" x14ac:dyDescent="0.2">
      <c r="A6" s="911" t="s">
        <v>16</v>
      </c>
      <c r="B6" s="912" t="s">
        <v>15</v>
      </c>
      <c r="C6" s="911" t="s">
        <v>8</v>
      </c>
      <c r="D6" s="912" t="s">
        <v>9</v>
      </c>
      <c r="E6" s="913" t="s">
        <v>311</v>
      </c>
      <c r="F6" s="914"/>
      <c r="G6" s="914"/>
      <c r="H6" s="914"/>
      <c r="I6" s="914"/>
      <c r="J6" s="914"/>
      <c r="K6" s="915"/>
      <c r="L6" s="913" t="s">
        <v>17</v>
      </c>
      <c r="M6" s="914"/>
      <c r="N6" s="914"/>
      <c r="O6" s="914"/>
      <c r="P6" s="914"/>
      <c r="Q6" s="914"/>
      <c r="R6" s="915"/>
      <c r="S6" s="1007" t="s">
        <v>344</v>
      </c>
      <c r="T6" s="1008"/>
    </row>
    <row r="7" spans="1:22" ht="21.75" customHeight="1" x14ac:dyDescent="0.2">
      <c r="A7" s="911"/>
      <c r="B7" s="917"/>
      <c r="C7" s="911"/>
      <c r="D7" s="917"/>
      <c r="E7" s="918" t="s">
        <v>1</v>
      </c>
      <c r="F7" s="918" t="s">
        <v>342</v>
      </c>
      <c r="G7" s="918" t="s">
        <v>343</v>
      </c>
      <c r="H7" s="918" t="s">
        <v>355</v>
      </c>
      <c r="I7" s="918" t="s">
        <v>356</v>
      </c>
      <c r="J7" s="918" t="s">
        <v>357</v>
      </c>
      <c r="K7" s="918" t="s">
        <v>358</v>
      </c>
      <c r="L7" s="918" t="s">
        <v>321</v>
      </c>
      <c r="M7" s="918">
        <v>2019</v>
      </c>
      <c r="N7" s="918">
        <v>2020</v>
      </c>
      <c r="O7" s="918">
        <v>2021</v>
      </c>
      <c r="P7" s="918">
        <v>2022</v>
      </c>
      <c r="Q7" s="918">
        <v>2023</v>
      </c>
      <c r="R7" s="918">
        <v>2024</v>
      </c>
      <c r="S7" s="1009"/>
      <c r="T7" s="1010"/>
    </row>
    <row r="8" spans="1:22" ht="11.25" customHeight="1" x14ac:dyDescent="0.2">
      <c r="A8" s="919">
        <v>1</v>
      </c>
      <c r="B8" s="919">
        <v>2</v>
      </c>
      <c r="C8" s="919">
        <v>3</v>
      </c>
      <c r="D8" s="919">
        <v>4</v>
      </c>
      <c r="E8" s="919">
        <v>5</v>
      </c>
      <c r="F8" s="1011">
        <v>6</v>
      </c>
      <c r="G8" s="919">
        <v>7</v>
      </c>
      <c r="H8" s="919">
        <v>8</v>
      </c>
      <c r="I8" s="919">
        <v>9</v>
      </c>
      <c r="J8" s="919">
        <v>10</v>
      </c>
      <c r="K8" s="919">
        <v>11</v>
      </c>
      <c r="L8" s="919">
        <v>12</v>
      </c>
      <c r="M8" s="919">
        <v>13</v>
      </c>
      <c r="N8" s="919">
        <v>14</v>
      </c>
      <c r="O8" s="919">
        <v>15</v>
      </c>
      <c r="P8" s="919">
        <v>16</v>
      </c>
      <c r="Q8" s="919">
        <v>17</v>
      </c>
      <c r="R8" s="919">
        <v>18</v>
      </c>
      <c r="S8" s="919">
        <v>19</v>
      </c>
    </row>
    <row r="9" spans="1:22" ht="15" customHeight="1" x14ac:dyDescent="0.2">
      <c r="A9" s="1012"/>
      <c r="B9" s="1013" t="s">
        <v>340</v>
      </c>
      <c r="C9" s="1013"/>
      <c r="D9" s="1013"/>
      <c r="E9" s="1013"/>
      <c r="F9" s="1013"/>
      <c r="G9" s="1013"/>
      <c r="H9" s="1013"/>
      <c r="I9" s="1013"/>
      <c r="J9" s="1013"/>
      <c r="K9" s="1013"/>
      <c r="L9" s="1013"/>
      <c r="M9" s="1013"/>
      <c r="N9" s="1013"/>
      <c r="O9" s="1013"/>
      <c r="P9" s="1013"/>
      <c r="Q9" s="1013"/>
      <c r="R9" s="1013"/>
      <c r="S9" s="1013"/>
    </row>
    <row r="10" spans="1:22" ht="10.5" customHeight="1" x14ac:dyDescent="0.2">
      <c r="A10" s="1014" t="s">
        <v>72</v>
      </c>
      <c r="B10" s="1015" t="s">
        <v>380</v>
      </c>
      <c r="C10" s="1016"/>
      <c r="D10" s="1016"/>
      <c r="E10" s="1017"/>
      <c r="F10" s="1017"/>
      <c r="G10" s="1017"/>
      <c r="H10" s="1017"/>
      <c r="I10" s="1017"/>
      <c r="J10" s="1017"/>
      <c r="K10" s="1017"/>
      <c r="L10" s="1016"/>
      <c r="M10" s="1016"/>
      <c r="N10" s="1016"/>
      <c r="O10" s="1016"/>
      <c r="P10" s="1016"/>
      <c r="Q10" s="1016"/>
      <c r="R10" s="1016"/>
      <c r="S10" s="1018"/>
    </row>
    <row r="11" spans="1:22" ht="21.75" customHeight="1" x14ac:dyDescent="0.2">
      <c r="A11" s="1019" t="s">
        <v>10</v>
      </c>
      <c r="B11" s="1020" t="s">
        <v>322</v>
      </c>
      <c r="C11" s="1021" t="s">
        <v>359</v>
      </c>
      <c r="D11" s="1022" t="s">
        <v>341</v>
      </c>
      <c r="E11" s="1023">
        <f t="shared" ref="E11:E19" si="0">SUM(F11:K11)</f>
        <v>6839.9</v>
      </c>
      <c r="F11" s="1024">
        <f>F12+F13</f>
        <v>65</v>
      </c>
      <c r="G11" s="1023">
        <f t="shared" ref="G11:K11" si="1">G12+G13</f>
        <v>65</v>
      </c>
      <c r="H11" s="1024">
        <f t="shared" si="1"/>
        <v>65</v>
      </c>
      <c r="I11" s="1023">
        <f t="shared" si="1"/>
        <v>6514.9</v>
      </c>
      <c r="J11" s="1024">
        <f t="shared" si="1"/>
        <v>65</v>
      </c>
      <c r="K11" s="1023">
        <f t="shared" si="1"/>
        <v>65</v>
      </c>
      <c r="L11" s="1025"/>
      <c r="M11" s="948"/>
      <c r="N11" s="948"/>
      <c r="O11" s="948"/>
      <c r="P11" s="948"/>
      <c r="Q11" s="948"/>
      <c r="R11" s="948"/>
      <c r="S11" s="1026"/>
      <c r="T11" s="1027"/>
    </row>
    <row r="12" spans="1:22" ht="12.75" customHeight="1" x14ac:dyDescent="0.2">
      <c r="A12" s="1028"/>
      <c r="B12" s="971"/>
      <c r="C12" s="1029"/>
      <c r="D12" s="389" t="s">
        <v>5</v>
      </c>
      <c r="E12" s="1030">
        <f t="shared" si="0"/>
        <v>454.5</v>
      </c>
      <c r="F12" s="1031">
        <f>F15+F18</f>
        <v>65</v>
      </c>
      <c r="G12" s="1030">
        <f t="shared" ref="G12:K12" si="2">G15+G18</f>
        <v>65</v>
      </c>
      <c r="H12" s="1031">
        <f t="shared" si="2"/>
        <v>65</v>
      </c>
      <c r="I12" s="1030">
        <f t="shared" si="2"/>
        <v>129.5</v>
      </c>
      <c r="J12" s="1031">
        <f t="shared" si="2"/>
        <v>65</v>
      </c>
      <c r="K12" s="1030">
        <f t="shared" si="2"/>
        <v>65</v>
      </c>
      <c r="L12" s="1025"/>
      <c r="M12" s="1032"/>
      <c r="N12" s="1032"/>
      <c r="O12" s="1032"/>
      <c r="P12" s="1032"/>
      <c r="Q12" s="1032"/>
      <c r="R12" s="1032"/>
      <c r="S12" s="1026"/>
    </row>
    <row r="13" spans="1:22" ht="42.75" customHeight="1" x14ac:dyDescent="0.2">
      <c r="A13" s="1028"/>
      <c r="B13" s="971"/>
      <c r="C13" s="1029"/>
      <c r="D13" s="389" t="s">
        <v>6</v>
      </c>
      <c r="E13" s="1033">
        <f t="shared" si="0"/>
        <v>6385.4</v>
      </c>
      <c r="F13" s="1031">
        <f>F16+F19</f>
        <v>0</v>
      </c>
      <c r="G13" s="1033">
        <f t="shared" ref="G13:K13" si="3">G16+G19</f>
        <v>0</v>
      </c>
      <c r="H13" s="1031">
        <f t="shared" si="3"/>
        <v>0</v>
      </c>
      <c r="I13" s="1033">
        <f t="shared" si="3"/>
        <v>6385.4</v>
      </c>
      <c r="J13" s="1031">
        <f t="shared" si="3"/>
        <v>0</v>
      </c>
      <c r="K13" s="1033">
        <f t="shared" si="3"/>
        <v>0</v>
      </c>
      <c r="L13" s="1025"/>
      <c r="M13" s="1032"/>
      <c r="N13" s="1032"/>
      <c r="O13" s="1032"/>
      <c r="P13" s="1032"/>
      <c r="Q13" s="1032"/>
      <c r="R13" s="1032"/>
      <c r="S13" s="1026"/>
    </row>
    <row r="14" spans="1:22" ht="21.75" customHeight="1" x14ac:dyDescent="0.2">
      <c r="A14" s="1019" t="s">
        <v>169</v>
      </c>
      <c r="B14" s="1020" t="s">
        <v>543</v>
      </c>
      <c r="C14" s="1021" t="s">
        <v>359</v>
      </c>
      <c r="D14" s="1022" t="s">
        <v>341</v>
      </c>
      <c r="E14" s="1023">
        <f t="shared" si="0"/>
        <v>390</v>
      </c>
      <c r="F14" s="1024">
        <f>F15+F16</f>
        <v>65</v>
      </c>
      <c r="G14" s="1023">
        <f>G15+G16</f>
        <v>65</v>
      </c>
      <c r="H14" s="1024">
        <f t="shared" ref="H14:K14" si="4">H15+H16</f>
        <v>65</v>
      </c>
      <c r="I14" s="1023">
        <f t="shared" si="4"/>
        <v>65</v>
      </c>
      <c r="J14" s="1024">
        <f t="shared" si="4"/>
        <v>65</v>
      </c>
      <c r="K14" s="1023">
        <f t="shared" si="4"/>
        <v>65</v>
      </c>
      <c r="L14" s="1025" t="s">
        <v>548</v>
      </c>
      <c r="M14" s="948">
        <v>29</v>
      </c>
      <c r="N14" s="948">
        <v>30</v>
      </c>
      <c r="O14" s="948">
        <v>31</v>
      </c>
      <c r="P14" s="948">
        <v>32</v>
      </c>
      <c r="Q14" s="948">
        <v>32.4</v>
      </c>
      <c r="R14" s="948">
        <v>32.6</v>
      </c>
      <c r="S14" s="1026" t="s">
        <v>448</v>
      </c>
      <c r="T14" s="1027"/>
    </row>
    <row r="15" spans="1:22" ht="12.75" customHeight="1" x14ac:dyDescent="0.2">
      <c r="A15" s="1028"/>
      <c r="B15" s="971"/>
      <c r="C15" s="1029"/>
      <c r="D15" s="389" t="s">
        <v>5</v>
      </c>
      <c r="E15" s="1030">
        <f t="shared" si="0"/>
        <v>390</v>
      </c>
      <c r="F15" s="1031">
        <v>65</v>
      </c>
      <c r="G15" s="1030">
        <f>65</f>
        <v>65</v>
      </c>
      <c r="H15" s="1031">
        <v>65</v>
      </c>
      <c r="I15" s="1030">
        <v>65</v>
      </c>
      <c r="J15" s="1031">
        <v>65</v>
      </c>
      <c r="K15" s="1030">
        <v>65</v>
      </c>
      <c r="L15" s="1025"/>
      <c r="M15" s="1032"/>
      <c r="N15" s="1032"/>
      <c r="O15" s="1032"/>
      <c r="P15" s="1032"/>
      <c r="Q15" s="1032"/>
      <c r="R15" s="1032"/>
      <c r="S15" s="1026"/>
    </row>
    <row r="16" spans="1:22" ht="34.5" customHeight="1" x14ac:dyDescent="0.2">
      <c r="A16" s="1028"/>
      <c r="B16" s="971"/>
      <c r="C16" s="1029"/>
      <c r="D16" s="389" t="s">
        <v>6</v>
      </c>
      <c r="E16" s="1033">
        <f t="shared" si="0"/>
        <v>0</v>
      </c>
      <c r="F16" s="1031">
        <v>0</v>
      </c>
      <c r="G16" s="1033">
        <v>0</v>
      </c>
      <c r="H16" s="1031">
        <v>0</v>
      </c>
      <c r="I16" s="1033">
        <v>0</v>
      </c>
      <c r="J16" s="1031">
        <v>0</v>
      </c>
      <c r="K16" s="1033">
        <v>0</v>
      </c>
      <c r="L16" s="1025"/>
      <c r="M16" s="1032"/>
      <c r="N16" s="1032"/>
      <c r="O16" s="1032"/>
      <c r="P16" s="1032"/>
      <c r="Q16" s="1032"/>
      <c r="R16" s="1032"/>
      <c r="S16" s="1026"/>
    </row>
    <row r="17" spans="1:20" ht="30.75" customHeight="1" x14ac:dyDescent="0.2">
      <c r="A17" s="1019" t="s">
        <v>442</v>
      </c>
      <c r="B17" s="1020" t="s">
        <v>544</v>
      </c>
      <c r="C17" s="1021" t="s">
        <v>359</v>
      </c>
      <c r="D17" s="1022" t="s">
        <v>341</v>
      </c>
      <c r="E17" s="1023">
        <f t="shared" si="0"/>
        <v>6449.9</v>
      </c>
      <c r="F17" s="1024">
        <f t="shared" ref="F17:K17" si="5">F18+F19</f>
        <v>0</v>
      </c>
      <c r="G17" s="1023">
        <f t="shared" si="5"/>
        <v>0</v>
      </c>
      <c r="H17" s="1023">
        <f t="shared" si="5"/>
        <v>0</v>
      </c>
      <c r="I17" s="1023">
        <f t="shared" si="5"/>
        <v>6449.9</v>
      </c>
      <c r="J17" s="1024">
        <f t="shared" si="5"/>
        <v>0</v>
      </c>
      <c r="K17" s="1023">
        <f t="shared" si="5"/>
        <v>0</v>
      </c>
      <c r="L17" s="1034" t="s">
        <v>546</v>
      </c>
      <c r="M17" s="931">
        <v>0</v>
      </c>
      <c r="N17" s="931">
        <v>0</v>
      </c>
      <c r="O17" s="931">
        <v>0</v>
      </c>
      <c r="P17" s="931">
        <v>25</v>
      </c>
      <c r="Q17" s="931">
        <v>0</v>
      </c>
      <c r="R17" s="931">
        <v>0</v>
      </c>
      <c r="S17" s="1021" t="s">
        <v>542</v>
      </c>
      <c r="T17" s="1027"/>
    </row>
    <row r="18" spans="1:20" ht="12.75" customHeight="1" x14ac:dyDescent="0.2">
      <c r="A18" s="1028"/>
      <c r="B18" s="971"/>
      <c r="C18" s="1029"/>
      <c r="D18" s="389" t="s">
        <v>5</v>
      </c>
      <c r="E18" s="1030">
        <f t="shared" si="0"/>
        <v>64.5</v>
      </c>
      <c r="F18" s="1031">
        <v>0</v>
      </c>
      <c r="G18" s="1030">
        <v>0</v>
      </c>
      <c r="H18" s="1030">
        <v>0</v>
      </c>
      <c r="I18" s="1030">
        <v>64.5</v>
      </c>
      <c r="J18" s="1031">
        <v>0</v>
      </c>
      <c r="K18" s="1030">
        <v>0</v>
      </c>
      <c r="L18" s="962" t="s">
        <v>545</v>
      </c>
      <c r="M18" s="491">
        <v>0</v>
      </c>
      <c r="N18" s="491">
        <v>0</v>
      </c>
      <c r="O18" s="491">
        <v>0</v>
      </c>
      <c r="P18" s="491">
        <v>211</v>
      </c>
      <c r="Q18" s="491">
        <v>0</v>
      </c>
      <c r="R18" s="491">
        <v>0</v>
      </c>
      <c r="S18" s="1035"/>
    </row>
    <row r="19" spans="1:20" ht="36" customHeight="1" x14ac:dyDescent="0.2">
      <c r="A19" s="1028"/>
      <c r="B19" s="971"/>
      <c r="C19" s="1029"/>
      <c r="D19" s="389" t="s">
        <v>6</v>
      </c>
      <c r="E19" s="1033">
        <f t="shared" si="0"/>
        <v>6385.4</v>
      </c>
      <c r="F19" s="1031">
        <v>0</v>
      </c>
      <c r="G19" s="1033">
        <v>0</v>
      </c>
      <c r="H19" s="1033">
        <v>0</v>
      </c>
      <c r="I19" s="1033">
        <v>6385.4</v>
      </c>
      <c r="J19" s="1031">
        <v>0</v>
      </c>
      <c r="K19" s="1033">
        <v>0</v>
      </c>
      <c r="L19" s="1036"/>
      <c r="M19" s="493"/>
      <c r="N19" s="493"/>
      <c r="O19" s="493"/>
      <c r="P19" s="493"/>
      <c r="Q19" s="493"/>
      <c r="R19" s="493"/>
      <c r="S19" s="1037"/>
    </row>
    <row r="20" spans="1:20" ht="13.5" customHeight="1" x14ac:dyDescent="0.2">
      <c r="A20" s="1014" t="s">
        <v>24</v>
      </c>
      <c r="B20" s="1038" t="s">
        <v>332</v>
      </c>
      <c r="C20" s="1038"/>
      <c r="D20" s="1039"/>
      <c r="E20" s="1040"/>
      <c r="F20" s="1039"/>
      <c r="G20" s="1039"/>
      <c r="H20" s="1039"/>
      <c r="I20" s="1039"/>
      <c r="J20" s="1039"/>
      <c r="K20" s="1039"/>
      <c r="L20" s="1038"/>
      <c r="M20" s="1038"/>
      <c r="N20" s="1038"/>
      <c r="O20" s="1038"/>
      <c r="P20" s="1038"/>
      <c r="Q20" s="1038"/>
      <c r="R20" s="1038"/>
      <c r="S20" s="1038"/>
    </row>
    <row r="21" spans="1:20" ht="13.5" customHeight="1" x14ac:dyDescent="0.2">
      <c r="A21" s="1019" t="s">
        <v>26</v>
      </c>
      <c r="B21" s="1020" t="s">
        <v>323</v>
      </c>
      <c r="C21" s="1041" t="s">
        <v>359</v>
      </c>
      <c r="D21" s="920" t="s">
        <v>341</v>
      </c>
      <c r="E21" s="1042">
        <f>SUM(F21:K21)</f>
        <v>1127.26</v>
      </c>
      <c r="F21" s="1023">
        <f t="shared" ref="F21:K21" si="6">F26</f>
        <v>195.3</v>
      </c>
      <c r="G21" s="1023">
        <f t="shared" si="6"/>
        <v>180.98000000000002</v>
      </c>
      <c r="H21" s="1023">
        <f>H26</f>
        <v>180.98</v>
      </c>
      <c r="I21" s="1023">
        <f>I26</f>
        <v>190</v>
      </c>
      <c r="J21" s="1023">
        <f t="shared" si="6"/>
        <v>190</v>
      </c>
      <c r="K21" s="1023">
        <f t="shared" si="6"/>
        <v>190</v>
      </c>
      <c r="L21" s="1043" t="s">
        <v>381</v>
      </c>
      <c r="M21" s="491">
        <v>75</v>
      </c>
      <c r="N21" s="491">
        <v>75</v>
      </c>
      <c r="O21" s="491">
        <v>75</v>
      </c>
      <c r="P21" s="491">
        <v>75</v>
      </c>
      <c r="Q21" s="491">
        <v>75</v>
      </c>
      <c r="R21" s="491">
        <v>75</v>
      </c>
      <c r="S21" s="1019" t="s">
        <v>330</v>
      </c>
      <c r="T21" s="1027"/>
    </row>
    <row r="22" spans="1:20" ht="6" hidden="1" customHeight="1" x14ac:dyDescent="0.2">
      <c r="A22" s="1028"/>
      <c r="B22" s="971"/>
      <c r="C22" s="1044"/>
      <c r="D22" s="1035" t="s">
        <v>217</v>
      </c>
      <c r="E22" s="1045">
        <f>SUM(F22:I23)</f>
        <v>0</v>
      </c>
      <c r="F22" s="1046"/>
      <c r="G22" s="1046"/>
      <c r="H22" s="1046"/>
      <c r="I22" s="1047"/>
      <c r="J22" s="1047"/>
      <c r="K22" s="1047"/>
      <c r="L22" s="1048"/>
      <c r="M22" s="1049"/>
      <c r="N22" s="1049"/>
      <c r="O22" s="492"/>
      <c r="P22" s="1049"/>
      <c r="Q22" s="1049"/>
      <c r="R22" s="1049"/>
      <c r="S22" s="1029"/>
    </row>
    <row r="23" spans="1:20" ht="7.35" hidden="1" customHeight="1" x14ac:dyDescent="0.2">
      <c r="A23" s="1028"/>
      <c r="B23" s="971"/>
      <c r="C23" s="1044"/>
      <c r="D23" s="1035"/>
      <c r="E23" s="1045"/>
      <c r="F23" s="1046"/>
      <c r="G23" s="1046"/>
      <c r="H23" s="1046"/>
      <c r="I23" s="1047"/>
      <c r="J23" s="1047"/>
      <c r="K23" s="1047"/>
      <c r="L23" s="1048"/>
      <c r="M23" s="1049"/>
      <c r="N23" s="1049"/>
      <c r="O23" s="492"/>
      <c r="P23" s="1049"/>
      <c r="Q23" s="1049"/>
      <c r="R23" s="1049"/>
      <c r="S23" s="1029"/>
    </row>
    <row r="24" spans="1:20" ht="15" hidden="1" customHeight="1" x14ac:dyDescent="0.2">
      <c r="A24" s="1028"/>
      <c r="B24" s="971"/>
      <c r="C24" s="1044"/>
      <c r="D24" s="1035"/>
      <c r="E24" s="1050">
        <f>SUM(F24:I24)</f>
        <v>0</v>
      </c>
      <c r="F24" s="1046"/>
      <c r="G24" s="1046"/>
      <c r="H24" s="1046"/>
      <c r="I24" s="1051"/>
      <c r="J24" s="1051"/>
      <c r="K24" s="1051"/>
      <c r="L24" s="1048"/>
      <c r="M24" s="1049"/>
      <c r="N24" s="1049"/>
      <c r="O24" s="492"/>
      <c r="P24" s="1049"/>
      <c r="Q24" s="1049"/>
      <c r="R24" s="1049"/>
      <c r="S24" s="1029"/>
    </row>
    <row r="25" spans="1:20" ht="22.5" hidden="1" customHeight="1" x14ac:dyDescent="0.2">
      <c r="A25" s="1028"/>
      <c r="B25" s="971"/>
      <c r="C25" s="1044"/>
      <c r="D25" s="1035"/>
      <c r="E25" s="1050">
        <f>SUM(F25:I25)</f>
        <v>0</v>
      </c>
      <c r="F25" s="1046"/>
      <c r="G25" s="1046"/>
      <c r="H25" s="1046"/>
      <c r="I25" s="1051"/>
      <c r="J25" s="1051"/>
      <c r="K25" s="1051"/>
      <c r="L25" s="1048"/>
      <c r="M25" s="1049"/>
      <c r="N25" s="1049"/>
      <c r="O25" s="492"/>
      <c r="P25" s="1049"/>
      <c r="Q25" s="1049"/>
      <c r="R25" s="1049"/>
      <c r="S25" s="1029"/>
    </row>
    <row r="26" spans="1:20" ht="19.5" customHeight="1" x14ac:dyDescent="0.2">
      <c r="A26" s="1028"/>
      <c r="B26" s="971"/>
      <c r="C26" s="1044"/>
      <c r="D26" s="389" t="s">
        <v>5</v>
      </c>
      <c r="E26" s="1050">
        <f>SUM(F26:K26)</f>
        <v>1127.26</v>
      </c>
      <c r="F26" s="1030">
        <v>195.3</v>
      </c>
      <c r="G26" s="1030">
        <f>196.3-15.32</f>
        <v>180.98000000000002</v>
      </c>
      <c r="H26" s="1030">
        <f>180.98</f>
        <v>180.98</v>
      </c>
      <c r="I26" s="1030">
        <v>190</v>
      </c>
      <c r="J26" s="1030">
        <v>190</v>
      </c>
      <c r="K26" s="1030">
        <v>190</v>
      </c>
      <c r="L26" s="1048"/>
      <c r="M26" s="1049"/>
      <c r="N26" s="1049"/>
      <c r="O26" s="492"/>
      <c r="P26" s="1049"/>
      <c r="Q26" s="1049"/>
      <c r="R26" s="1049"/>
      <c r="S26" s="1029"/>
      <c r="T26" s="1052"/>
    </row>
    <row r="27" spans="1:20" ht="30.75" customHeight="1" x14ac:dyDescent="0.2">
      <c r="A27" s="1053"/>
      <c r="B27" s="1036"/>
      <c r="C27" s="1054"/>
      <c r="D27" s="390" t="s">
        <v>6</v>
      </c>
      <c r="E27" s="1055">
        <f>SUM(F27:K27)</f>
        <v>0</v>
      </c>
      <c r="F27" s="1056">
        <v>0</v>
      </c>
      <c r="G27" s="1056">
        <v>0</v>
      </c>
      <c r="H27" s="1056">
        <v>0</v>
      </c>
      <c r="I27" s="1056">
        <v>0</v>
      </c>
      <c r="J27" s="1056">
        <v>0</v>
      </c>
      <c r="K27" s="1056">
        <v>0</v>
      </c>
      <c r="L27" s="1057"/>
      <c r="M27" s="1058"/>
      <c r="N27" s="1058"/>
      <c r="O27" s="493"/>
      <c r="P27" s="1058"/>
      <c r="Q27" s="1058"/>
      <c r="R27" s="1058"/>
      <c r="S27" s="1059"/>
      <c r="T27" s="1052"/>
    </row>
    <row r="28" spans="1:20" ht="12.75" customHeight="1" x14ac:dyDescent="0.2">
      <c r="A28" s="1014" t="s">
        <v>28</v>
      </c>
      <c r="B28" s="1038" t="s">
        <v>402</v>
      </c>
      <c r="C28" s="1038"/>
      <c r="D28" s="1039"/>
      <c r="E28" s="1040"/>
      <c r="F28" s="1039"/>
      <c r="G28" s="1039"/>
      <c r="H28" s="1039"/>
      <c r="I28" s="1039"/>
      <c r="J28" s="1039"/>
      <c r="K28" s="1039"/>
      <c r="L28" s="1038"/>
      <c r="M28" s="1038"/>
      <c r="N28" s="1038"/>
      <c r="O28" s="1038"/>
      <c r="P28" s="1038"/>
      <c r="Q28" s="1038"/>
      <c r="R28" s="1038"/>
      <c r="S28" s="1038"/>
    </row>
    <row r="29" spans="1:20" ht="13.5" customHeight="1" x14ac:dyDescent="0.2">
      <c r="A29" s="1019" t="s">
        <v>30</v>
      </c>
      <c r="B29" s="1020" t="s">
        <v>324</v>
      </c>
      <c r="C29" s="1021" t="s">
        <v>359</v>
      </c>
      <c r="D29" s="920" t="s">
        <v>341</v>
      </c>
      <c r="E29" s="1023">
        <f>SUM(F29:K29)</f>
        <v>175</v>
      </c>
      <c r="F29" s="1023">
        <f t="shared" ref="F29:K29" si="7">F30+F31</f>
        <v>37</v>
      </c>
      <c r="G29" s="1023">
        <f t="shared" si="7"/>
        <v>27</v>
      </c>
      <c r="H29" s="1023">
        <f t="shared" si="7"/>
        <v>27</v>
      </c>
      <c r="I29" s="1023">
        <f t="shared" si="7"/>
        <v>27</v>
      </c>
      <c r="J29" s="1023">
        <f t="shared" si="7"/>
        <v>27</v>
      </c>
      <c r="K29" s="1023">
        <f t="shared" si="7"/>
        <v>30</v>
      </c>
      <c r="L29" s="921" t="s">
        <v>547</v>
      </c>
      <c r="M29" s="491">
        <v>90</v>
      </c>
      <c r="N29" s="491">
        <v>90.5</v>
      </c>
      <c r="O29" s="491">
        <v>91</v>
      </c>
      <c r="P29" s="491">
        <v>91.5</v>
      </c>
      <c r="Q29" s="491">
        <v>92</v>
      </c>
      <c r="R29" s="491">
        <v>93</v>
      </c>
      <c r="S29" s="1019" t="s">
        <v>448</v>
      </c>
      <c r="T29" s="1027"/>
    </row>
    <row r="30" spans="1:20" ht="17.45" customHeight="1" x14ac:dyDescent="0.2">
      <c r="A30" s="1060"/>
      <c r="B30" s="1061"/>
      <c r="C30" s="1035"/>
      <c r="D30" s="1062" t="s">
        <v>5</v>
      </c>
      <c r="E30" s="1030">
        <f>SUM(F30:K30)</f>
        <v>175</v>
      </c>
      <c r="F30" s="1030">
        <v>37</v>
      </c>
      <c r="G30" s="1030">
        <f>27</f>
        <v>27</v>
      </c>
      <c r="H30" s="1030">
        <v>27</v>
      </c>
      <c r="I30" s="1030">
        <v>27</v>
      </c>
      <c r="J30" s="1030">
        <v>27</v>
      </c>
      <c r="K30" s="1030">
        <v>30</v>
      </c>
      <c r="L30" s="1029"/>
      <c r="M30" s="492"/>
      <c r="N30" s="492"/>
      <c r="O30" s="492"/>
      <c r="P30" s="492"/>
      <c r="Q30" s="492"/>
      <c r="R30" s="492"/>
      <c r="S30" s="1060"/>
      <c r="T30" s="1052"/>
    </row>
    <row r="31" spans="1:20" ht="42" customHeight="1" x14ac:dyDescent="0.2">
      <c r="A31" s="1060"/>
      <c r="B31" s="1061"/>
      <c r="C31" s="1035"/>
      <c r="D31" s="389" t="s">
        <v>6</v>
      </c>
      <c r="E31" s="1030">
        <f>SUM(F31:K31)</f>
        <v>0</v>
      </c>
      <c r="F31" s="1030">
        <v>0</v>
      </c>
      <c r="G31" s="1030">
        <v>0</v>
      </c>
      <c r="H31" s="1030">
        <v>0</v>
      </c>
      <c r="I31" s="1030">
        <v>0</v>
      </c>
      <c r="J31" s="1030">
        <v>0</v>
      </c>
      <c r="K31" s="1030">
        <v>0</v>
      </c>
      <c r="L31" s="1063"/>
      <c r="M31" s="1064"/>
      <c r="N31" s="1064"/>
      <c r="O31" s="1064"/>
      <c r="P31" s="1064"/>
      <c r="Q31" s="1064"/>
      <c r="R31" s="1064"/>
      <c r="S31" s="1060"/>
    </row>
    <row r="32" spans="1:20" ht="12.75" customHeight="1" x14ac:dyDescent="0.2">
      <c r="A32" s="1014" t="s">
        <v>34</v>
      </c>
      <c r="B32" s="1038" t="s">
        <v>328</v>
      </c>
      <c r="C32" s="1038"/>
      <c r="D32" s="1039"/>
      <c r="E32" s="1039"/>
      <c r="F32" s="1039"/>
      <c r="G32" s="1039"/>
      <c r="H32" s="1039"/>
      <c r="I32" s="1039"/>
      <c r="J32" s="1039"/>
      <c r="K32" s="1039"/>
      <c r="L32" s="1038"/>
      <c r="M32" s="1038"/>
      <c r="N32" s="1038"/>
      <c r="O32" s="1038"/>
      <c r="P32" s="1038"/>
      <c r="Q32" s="1038"/>
      <c r="R32" s="1038"/>
      <c r="S32" s="1038"/>
    </row>
    <row r="33" spans="1:20" ht="15.75" customHeight="1" x14ac:dyDescent="0.2">
      <c r="A33" s="1065" t="s">
        <v>36</v>
      </c>
      <c r="B33" s="1020" t="s">
        <v>325</v>
      </c>
      <c r="C33" s="1021" t="s">
        <v>359</v>
      </c>
      <c r="D33" s="920" t="s">
        <v>341</v>
      </c>
      <c r="E33" s="1042">
        <f t="shared" ref="E33:K33" si="8">SUM(E34:E35)</f>
        <v>9743.49</v>
      </c>
      <c r="F33" s="1042">
        <f>SUM(F34:F35)</f>
        <v>1107.69</v>
      </c>
      <c r="G33" s="1042">
        <f t="shared" si="8"/>
        <v>977.81</v>
      </c>
      <c r="H33" s="1042">
        <f t="shared" si="8"/>
        <v>1553.1</v>
      </c>
      <c r="I33" s="1042">
        <f>SUM(I34:I35)</f>
        <v>2823.4300000000003</v>
      </c>
      <c r="J33" s="1042">
        <f t="shared" si="8"/>
        <v>1640.73</v>
      </c>
      <c r="K33" s="1042">
        <f t="shared" si="8"/>
        <v>1640.73</v>
      </c>
      <c r="L33" s="1043"/>
      <c r="M33" s="1066"/>
      <c r="N33" s="1066"/>
      <c r="O33" s="1066"/>
      <c r="P33" s="1066"/>
      <c r="Q33" s="1066"/>
      <c r="R33" s="1066"/>
      <c r="S33" s="1019"/>
      <c r="T33" s="1027"/>
    </row>
    <row r="34" spans="1:20" ht="13.5" customHeight="1" x14ac:dyDescent="0.2">
      <c r="A34" s="1067"/>
      <c r="B34" s="1061"/>
      <c r="C34" s="1035"/>
      <c r="D34" s="1068" t="s">
        <v>5</v>
      </c>
      <c r="E34" s="1050">
        <f t="shared" ref="E34:E44" si="9">SUM(F34:K34)</f>
        <v>3427.12</v>
      </c>
      <c r="F34" s="1069">
        <f t="shared" ref="F34:K34" si="10">F37+F43+F46+F49</f>
        <v>523.51</v>
      </c>
      <c r="G34" s="1069">
        <f t="shared" si="10"/>
        <v>265.8</v>
      </c>
      <c r="H34" s="1069">
        <f t="shared" si="10"/>
        <v>717.62</v>
      </c>
      <c r="I34" s="1069">
        <f t="shared" si="10"/>
        <v>482.13</v>
      </c>
      <c r="J34" s="1069">
        <f t="shared" si="10"/>
        <v>719.03</v>
      </c>
      <c r="K34" s="1069">
        <f t="shared" si="10"/>
        <v>719.03</v>
      </c>
      <c r="L34" s="1048"/>
      <c r="M34" s="1070"/>
      <c r="N34" s="1070"/>
      <c r="O34" s="1070"/>
      <c r="P34" s="1070"/>
      <c r="Q34" s="1071"/>
      <c r="R34" s="1070"/>
      <c r="S34" s="1060"/>
    </row>
    <row r="35" spans="1:20" ht="14.25" customHeight="1" x14ac:dyDescent="0.2">
      <c r="A35" s="1072"/>
      <c r="B35" s="1073"/>
      <c r="C35" s="1035"/>
      <c r="D35" s="1068" t="s">
        <v>6</v>
      </c>
      <c r="E35" s="1050">
        <f t="shared" si="9"/>
        <v>6316.37</v>
      </c>
      <c r="F35" s="1069">
        <f t="shared" ref="F35:K35" si="11">F38+F47+F50</f>
        <v>584.17999999999995</v>
      </c>
      <c r="G35" s="1069">
        <f t="shared" si="11"/>
        <v>712.01</v>
      </c>
      <c r="H35" s="1069">
        <f t="shared" si="11"/>
        <v>835.48</v>
      </c>
      <c r="I35" s="1069">
        <f>I38+I47+I50+I41</f>
        <v>2341.3000000000002</v>
      </c>
      <c r="J35" s="1069">
        <f t="shared" si="11"/>
        <v>921.7</v>
      </c>
      <c r="K35" s="1069">
        <f t="shared" si="11"/>
        <v>921.7</v>
      </c>
      <c r="L35" s="1057"/>
      <c r="M35" s="1074"/>
      <c r="N35" s="1074"/>
      <c r="O35" s="1074"/>
      <c r="P35" s="1074"/>
      <c r="Q35" s="1071"/>
      <c r="R35" s="1074"/>
      <c r="S35" s="1075"/>
    </row>
    <row r="36" spans="1:20" ht="26.25" customHeight="1" x14ac:dyDescent="0.2">
      <c r="A36" s="1019" t="s">
        <v>82</v>
      </c>
      <c r="B36" s="1020" t="s">
        <v>383</v>
      </c>
      <c r="C36" s="1035"/>
      <c r="D36" s="920" t="s">
        <v>341</v>
      </c>
      <c r="E36" s="1076">
        <f t="shared" si="9"/>
        <v>6285.76</v>
      </c>
      <c r="F36" s="1076">
        <f t="shared" ref="F36:K36" si="12">F37+F38</f>
        <v>805.89</v>
      </c>
      <c r="G36" s="1076">
        <f t="shared" si="12"/>
        <v>786.42</v>
      </c>
      <c r="H36" s="1076">
        <f t="shared" si="12"/>
        <v>1100.26</v>
      </c>
      <c r="I36" s="1077">
        <f t="shared" si="12"/>
        <v>1251.73</v>
      </c>
      <c r="J36" s="1077">
        <f t="shared" si="12"/>
        <v>1170.73</v>
      </c>
      <c r="K36" s="1077">
        <f t="shared" si="12"/>
        <v>1170.73</v>
      </c>
      <c r="L36" s="1034" t="s">
        <v>386</v>
      </c>
      <c r="M36" s="1078">
        <v>100</v>
      </c>
      <c r="N36" s="1078">
        <v>100</v>
      </c>
      <c r="O36" s="1078">
        <v>100</v>
      </c>
      <c r="P36" s="1078">
        <v>100</v>
      </c>
      <c r="Q36" s="1078">
        <v>100</v>
      </c>
      <c r="R36" s="1078">
        <v>100</v>
      </c>
      <c r="S36" s="1021" t="s">
        <v>462</v>
      </c>
    </row>
    <row r="37" spans="1:20" ht="35.25" customHeight="1" x14ac:dyDescent="0.2">
      <c r="A37" s="1060"/>
      <c r="B37" s="1061"/>
      <c r="C37" s="1035"/>
      <c r="D37" s="1068" t="s">
        <v>5</v>
      </c>
      <c r="E37" s="1030">
        <f t="shared" si="9"/>
        <v>1388.99</v>
      </c>
      <c r="F37" s="1030">
        <v>221.71</v>
      </c>
      <c r="G37" s="1030">
        <f>37.47+36.94</f>
        <v>74.41</v>
      </c>
      <c r="H37" s="1030">
        <f>43.97+208.65+12.16</f>
        <v>264.78000000000003</v>
      </c>
      <c r="I37" s="1030">
        <f>239.72+9.31+31+50</f>
        <v>330.03</v>
      </c>
      <c r="J37" s="1030">
        <f t="shared" ref="J37:K37" si="13">239.72+9.31</f>
        <v>249.03</v>
      </c>
      <c r="K37" s="1030">
        <f t="shared" si="13"/>
        <v>249.03</v>
      </c>
      <c r="L37" s="1034" t="s">
        <v>387</v>
      </c>
      <c r="M37" s="919">
        <v>28.6</v>
      </c>
      <c r="N37" s="919">
        <v>28.7</v>
      </c>
      <c r="O37" s="919">
        <v>28.8</v>
      </c>
      <c r="P37" s="919">
        <v>28.9</v>
      </c>
      <c r="Q37" s="1078">
        <v>29</v>
      </c>
      <c r="R37" s="1078">
        <v>30</v>
      </c>
      <c r="S37" s="1079"/>
      <c r="T37" s="1052"/>
    </row>
    <row r="38" spans="1:20" ht="50.25" customHeight="1" x14ac:dyDescent="0.2">
      <c r="A38" s="1075"/>
      <c r="B38" s="1073"/>
      <c r="C38" s="1035"/>
      <c r="D38" s="1068" t="s">
        <v>6</v>
      </c>
      <c r="E38" s="1030">
        <f t="shared" si="9"/>
        <v>4896.7699999999995</v>
      </c>
      <c r="F38" s="1030">
        <v>584.17999999999995</v>
      </c>
      <c r="G38" s="1030">
        <v>712.01</v>
      </c>
      <c r="H38" s="1030">
        <v>835.48</v>
      </c>
      <c r="I38" s="1030">
        <v>921.7</v>
      </c>
      <c r="J38" s="1030">
        <v>921.7</v>
      </c>
      <c r="K38" s="1030">
        <v>921.7</v>
      </c>
      <c r="L38" s="1034" t="s">
        <v>384</v>
      </c>
      <c r="M38" s="1078">
        <v>75</v>
      </c>
      <c r="N38" s="1078">
        <v>75</v>
      </c>
      <c r="O38" s="1078">
        <v>75</v>
      </c>
      <c r="P38" s="1078">
        <v>75</v>
      </c>
      <c r="Q38" s="1078">
        <v>75</v>
      </c>
      <c r="R38" s="1078">
        <v>75</v>
      </c>
      <c r="S38" s="1079"/>
      <c r="T38" s="1052"/>
    </row>
    <row r="39" spans="1:20" ht="15" customHeight="1" x14ac:dyDescent="0.2">
      <c r="A39" s="1019" t="s">
        <v>85</v>
      </c>
      <c r="B39" s="1020" t="s">
        <v>329</v>
      </c>
      <c r="C39" s="1035"/>
      <c r="D39" s="1022" t="s">
        <v>341</v>
      </c>
      <c r="E39" s="1080">
        <f t="shared" ref="E39:K39" si="14">E40</f>
        <v>1305.5899999999999</v>
      </c>
      <c r="F39" s="1080">
        <f t="shared" si="14"/>
        <v>179.43</v>
      </c>
      <c r="G39" s="1080">
        <f t="shared" si="14"/>
        <v>121.22</v>
      </c>
      <c r="H39" s="1080">
        <f t="shared" si="14"/>
        <v>272.83999999999997</v>
      </c>
      <c r="I39" s="1080">
        <f t="shared" si="14"/>
        <v>152.1</v>
      </c>
      <c r="J39" s="1080">
        <f t="shared" si="14"/>
        <v>290</v>
      </c>
      <c r="K39" s="1076">
        <f t="shared" si="14"/>
        <v>290</v>
      </c>
      <c r="L39" s="1021"/>
      <c r="M39" s="1081"/>
      <c r="N39" s="1081"/>
      <c r="O39" s="1081"/>
      <c r="P39" s="1081"/>
      <c r="Q39" s="1081"/>
      <c r="R39" s="1082"/>
      <c r="S39" s="1083"/>
      <c r="T39" s="1052"/>
    </row>
    <row r="40" spans="1:20" ht="16.5" customHeight="1" x14ac:dyDescent="0.2">
      <c r="A40" s="1060"/>
      <c r="B40" s="1061"/>
      <c r="C40" s="1035"/>
      <c r="D40" s="389" t="s">
        <v>5</v>
      </c>
      <c r="E40" s="1084">
        <f t="shared" ref="E40:K40" si="15">E43+E46</f>
        <v>1305.5899999999999</v>
      </c>
      <c r="F40" s="1084">
        <f>F43+F46</f>
        <v>179.43</v>
      </c>
      <c r="G40" s="1084">
        <f t="shared" si="15"/>
        <v>121.22</v>
      </c>
      <c r="H40" s="1084">
        <f>H43+H46</f>
        <v>272.83999999999997</v>
      </c>
      <c r="I40" s="1084">
        <f t="shared" si="15"/>
        <v>152.1</v>
      </c>
      <c r="J40" s="1084">
        <f t="shared" si="15"/>
        <v>290</v>
      </c>
      <c r="K40" s="1030">
        <f t="shared" si="15"/>
        <v>290</v>
      </c>
      <c r="L40" s="1035"/>
      <c r="M40" s="1085"/>
      <c r="N40" s="1085"/>
      <c r="O40" s="1085"/>
      <c r="P40" s="1085"/>
      <c r="Q40" s="1085"/>
      <c r="R40" s="1086"/>
      <c r="S40" s="1087"/>
      <c r="T40" s="1052"/>
    </row>
    <row r="41" spans="1:20" ht="12.75" customHeight="1" x14ac:dyDescent="0.2">
      <c r="A41" s="1060"/>
      <c r="B41" s="1061"/>
      <c r="C41" s="1035"/>
      <c r="D41" s="390" t="s">
        <v>6</v>
      </c>
      <c r="E41" s="1088">
        <v>0</v>
      </c>
      <c r="F41" s="1088">
        <v>0</v>
      </c>
      <c r="G41" s="1088">
        <v>0</v>
      </c>
      <c r="H41" s="1088">
        <v>0</v>
      </c>
      <c r="I41" s="1088">
        <v>0</v>
      </c>
      <c r="J41" s="1088">
        <v>0</v>
      </c>
      <c r="K41" s="1033">
        <v>0</v>
      </c>
      <c r="L41" s="1037"/>
      <c r="M41" s="1085"/>
      <c r="N41" s="1085"/>
      <c r="O41" s="1085"/>
      <c r="P41" s="1085"/>
      <c r="Q41" s="1085"/>
      <c r="R41" s="1086"/>
      <c r="S41" s="1089"/>
      <c r="T41" s="1052"/>
    </row>
    <row r="42" spans="1:20" ht="29.25" customHeight="1" x14ac:dyDescent="0.2">
      <c r="A42" s="1060"/>
      <c r="B42" s="1061"/>
      <c r="C42" s="1035"/>
      <c r="D42" s="1068" t="s">
        <v>463</v>
      </c>
      <c r="E42" s="1030">
        <f t="shared" si="9"/>
        <v>515.27</v>
      </c>
      <c r="F42" s="1030">
        <f t="shared" ref="F42:K42" si="16">F43+F44</f>
        <v>60.75</v>
      </c>
      <c r="G42" s="1030">
        <f t="shared" si="16"/>
        <v>51.54</v>
      </c>
      <c r="H42" s="1030">
        <f t="shared" si="16"/>
        <v>70.88</v>
      </c>
      <c r="I42" s="1030">
        <f t="shared" si="16"/>
        <v>152.1</v>
      </c>
      <c r="J42" s="1030">
        <f t="shared" si="16"/>
        <v>90</v>
      </c>
      <c r="K42" s="1030">
        <f t="shared" si="16"/>
        <v>90</v>
      </c>
      <c r="L42" s="1090" t="s">
        <v>386</v>
      </c>
      <c r="M42" s="1091">
        <v>100</v>
      </c>
      <c r="N42" s="1091">
        <v>100</v>
      </c>
      <c r="O42" s="1091">
        <v>100</v>
      </c>
      <c r="P42" s="1091">
        <v>100</v>
      </c>
      <c r="Q42" s="1091">
        <v>100</v>
      </c>
      <c r="R42" s="1091">
        <v>100</v>
      </c>
      <c r="S42" s="1092" t="s">
        <v>330</v>
      </c>
    </row>
    <row r="43" spans="1:20" ht="24.75" customHeight="1" x14ac:dyDescent="0.2">
      <c r="A43" s="1060"/>
      <c r="B43" s="1061"/>
      <c r="C43" s="1035"/>
      <c r="D43" s="1068" t="s">
        <v>5</v>
      </c>
      <c r="E43" s="1030">
        <f t="shared" si="9"/>
        <v>515.27</v>
      </c>
      <c r="F43" s="1030">
        <f>60.75</f>
        <v>60.75</v>
      </c>
      <c r="G43" s="1030">
        <v>51.54</v>
      </c>
      <c r="H43" s="1030">
        <f>155-84.12</f>
        <v>70.88</v>
      </c>
      <c r="I43" s="1030">
        <f>90+28.1+34</f>
        <v>152.1</v>
      </c>
      <c r="J43" s="1030">
        <v>90</v>
      </c>
      <c r="K43" s="1030">
        <v>90</v>
      </c>
      <c r="L43" s="1093" t="s">
        <v>387</v>
      </c>
      <c r="M43" s="1094">
        <v>28.6</v>
      </c>
      <c r="N43" s="1094">
        <v>28.7</v>
      </c>
      <c r="O43" s="1094">
        <v>28.8</v>
      </c>
      <c r="P43" s="1094">
        <v>28.9</v>
      </c>
      <c r="Q43" s="1094">
        <v>29</v>
      </c>
      <c r="R43" s="1094">
        <v>30</v>
      </c>
      <c r="S43" s="1095"/>
    </row>
    <row r="44" spans="1:20" ht="12" customHeight="1" x14ac:dyDescent="0.2">
      <c r="A44" s="1060"/>
      <c r="B44" s="1061"/>
      <c r="C44" s="1035"/>
      <c r="D44" s="1068" t="s">
        <v>6</v>
      </c>
      <c r="E44" s="1030">
        <f t="shared" si="9"/>
        <v>0</v>
      </c>
      <c r="F44" s="1033">
        <v>0</v>
      </c>
      <c r="G44" s="1033">
        <v>0</v>
      </c>
      <c r="H44" s="1033">
        <v>0</v>
      </c>
      <c r="I44" s="1033">
        <v>0</v>
      </c>
      <c r="J44" s="1033">
        <v>0</v>
      </c>
      <c r="K44" s="1033">
        <v>0</v>
      </c>
      <c r="L44" s="1096"/>
      <c r="M44" s="1097"/>
      <c r="N44" s="1097"/>
      <c r="O44" s="1097"/>
      <c r="P44" s="1097"/>
      <c r="Q44" s="1097"/>
      <c r="R44" s="1097"/>
      <c r="S44" s="1098"/>
    </row>
    <row r="45" spans="1:20" ht="20.25" customHeight="1" x14ac:dyDescent="0.2">
      <c r="A45" s="1060"/>
      <c r="B45" s="1061"/>
      <c r="C45" s="1035"/>
      <c r="D45" s="920" t="s">
        <v>463</v>
      </c>
      <c r="E45" s="1076">
        <f t="shared" ref="E45:E50" si="17">SUM(F45:K45)</f>
        <v>790.31999999999994</v>
      </c>
      <c r="F45" s="1076">
        <f t="shared" ref="F45:K45" si="18">F46+F47</f>
        <v>118.68</v>
      </c>
      <c r="G45" s="1076">
        <f t="shared" si="18"/>
        <v>69.680000000000007</v>
      </c>
      <c r="H45" s="1076">
        <f t="shared" si="18"/>
        <v>201.95999999999998</v>
      </c>
      <c r="I45" s="1076">
        <f t="shared" si="18"/>
        <v>0</v>
      </c>
      <c r="J45" s="1076">
        <f t="shared" si="18"/>
        <v>200</v>
      </c>
      <c r="K45" s="1076">
        <f t="shared" si="18"/>
        <v>200</v>
      </c>
      <c r="L45" s="1093" t="s">
        <v>384</v>
      </c>
      <c r="M45" s="1094">
        <v>75</v>
      </c>
      <c r="N45" s="1094">
        <v>75</v>
      </c>
      <c r="O45" s="1094">
        <v>75</v>
      </c>
      <c r="P45" s="1094">
        <v>75</v>
      </c>
      <c r="Q45" s="1094">
        <v>75</v>
      </c>
      <c r="R45" s="1094">
        <v>75</v>
      </c>
      <c r="S45" s="1095" t="s">
        <v>317</v>
      </c>
    </row>
    <row r="46" spans="1:20" ht="17.25" customHeight="1" x14ac:dyDescent="0.2">
      <c r="A46" s="1060"/>
      <c r="B46" s="1061"/>
      <c r="C46" s="1035"/>
      <c r="D46" s="1068" t="s">
        <v>5</v>
      </c>
      <c r="E46" s="1030">
        <f t="shared" si="17"/>
        <v>790.31999999999994</v>
      </c>
      <c r="F46" s="1030">
        <f>118.68</f>
        <v>118.68</v>
      </c>
      <c r="G46" s="1030">
        <v>69.680000000000007</v>
      </c>
      <c r="H46" s="1030">
        <f>130+71.96</f>
        <v>201.95999999999998</v>
      </c>
      <c r="I46" s="1030">
        <f>200-200</f>
        <v>0</v>
      </c>
      <c r="J46" s="1030">
        <v>200</v>
      </c>
      <c r="K46" s="1030">
        <v>200</v>
      </c>
      <c r="L46" s="1099"/>
      <c r="M46" s="1047"/>
      <c r="N46" s="1047"/>
      <c r="O46" s="1047"/>
      <c r="P46" s="1047"/>
      <c r="Q46" s="1047"/>
      <c r="R46" s="1047"/>
      <c r="S46" s="1095"/>
    </row>
    <row r="47" spans="1:20" ht="13.5" customHeight="1" x14ac:dyDescent="0.2">
      <c r="A47" s="1075"/>
      <c r="B47" s="1073"/>
      <c r="C47" s="1035"/>
      <c r="D47" s="1068" t="s">
        <v>6</v>
      </c>
      <c r="E47" s="1030">
        <f t="shared" si="17"/>
        <v>0</v>
      </c>
      <c r="F47" s="1033">
        <v>0</v>
      </c>
      <c r="G47" s="1033">
        <v>0</v>
      </c>
      <c r="H47" s="1033">
        <v>0</v>
      </c>
      <c r="I47" s="1033">
        <v>0</v>
      </c>
      <c r="J47" s="1033">
        <v>0</v>
      </c>
      <c r="K47" s="1033">
        <v>0</v>
      </c>
      <c r="L47" s="1099"/>
      <c r="M47" s="1097"/>
      <c r="N47" s="1097"/>
      <c r="O47" s="1097"/>
      <c r="P47" s="1097"/>
      <c r="Q47" s="1097"/>
      <c r="R47" s="1097"/>
      <c r="S47" s="1098"/>
    </row>
    <row r="48" spans="1:20" ht="23.25" customHeight="1" x14ac:dyDescent="0.2">
      <c r="A48" s="1100" t="s">
        <v>138</v>
      </c>
      <c r="B48" s="1019" t="s">
        <v>37</v>
      </c>
      <c r="C48" s="1035"/>
      <c r="D48" s="920" t="s">
        <v>327</v>
      </c>
      <c r="E48" s="1076">
        <f t="shared" si="17"/>
        <v>2152.14</v>
      </c>
      <c r="F48" s="1076">
        <f t="shared" ref="F48:K48" si="19">F49+F50</f>
        <v>122.37</v>
      </c>
      <c r="G48" s="1076">
        <f t="shared" si="19"/>
        <v>70.17</v>
      </c>
      <c r="H48" s="1076">
        <f t="shared" si="19"/>
        <v>180</v>
      </c>
      <c r="I48" s="1076">
        <f t="shared" si="19"/>
        <v>1419.6</v>
      </c>
      <c r="J48" s="1076">
        <f t="shared" si="19"/>
        <v>180</v>
      </c>
      <c r="K48" s="1080">
        <f t="shared" si="19"/>
        <v>180</v>
      </c>
      <c r="L48" s="1101"/>
      <c r="M48" s="1102"/>
      <c r="N48" s="1102"/>
      <c r="O48" s="1102"/>
      <c r="P48" s="1102"/>
      <c r="Q48" s="1102"/>
      <c r="R48" s="1102"/>
      <c r="S48" s="1103"/>
    </row>
    <row r="49" spans="1:19" ht="16.5" customHeight="1" x14ac:dyDescent="0.2">
      <c r="A49" s="1104"/>
      <c r="B49" s="1060"/>
      <c r="C49" s="1035"/>
      <c r="D49" s="1068" t="s">
        <v>5</v>
      </c>
      <c r="E49" s="1030">
        <f t="shared" si="17"/>
        <v>732.54</v>
      </c>
      <c r="F49" s="1030">
        <f t="shared" ref="F49:K50" si="20">F55+F58</f>
        <v>122.37</v>
      </c>
      <c r="G49" s="1030">
        <f t="shared" si="20"/>
        <v>70.17</v>
      </c>
      <c r="H49" s="1030">
        <f t="shared" si="20"/>
        <v>180</v>
      </c>
      <c r="I49" s="1030">
        <f>I55+I58</f>
        <v>0</v>
      </c>
      <c r="J49" s="1030">
        <f t="shared" si="20"/>
        <v>180</v>
      </c>
      <c r="K49" s="1084">
        <f t="shared" si="20"/>
        <v>180</v>
      </c>
      <c r="L49" s="1105"/>
      <c r="M49" s="1106"/>
      <c r="N49" s="1106"/>
      <c r="O49" s="1106"/>
      <c r="P49" s="1106"/>
      <c r="Q49" s="1106"/>
      <c r="R49" s="1106"/>
      <c r="S49" s="1107"/>
    </row>
    <row r="50" spans="1:19" ht="15" customHeight="1" x14ac:dyDescent="0.2">
      <c r="A50" s="1104"/>
      <c r="B50" s="1060"/>
      <c r="C50" s="1035"/>
      <c r="D50" s="1108" t="s">
        <v>6</v>
      </c>
      <c r="E50" s="1033">
        <f t="shared" si="17"/>
        <v>1419.6</v>
      </c>
      <c r="F50" s="1033">
        <f t="shared" si="20"/>
        <v>0</v>
      </c>
      <c r="G50" s="1033">
        <f t="shared" si="20"/>
        <v>0</v>
      </c>
      <c r="H50" s="1033">
        <f t="shared" si="20"/>
        <v>0</v>
      </c>
      <c r="I50" s="1033">
        <f t="shared" si="20"/>
        <v>1419.6</v>
      </c>
      <c r="J50" s="1033">
        <f t="shared" si="20"/>
        <v>0</v>
      </c>
      <c r="K50" s="1088">
        <f t="shared" si="20"/>
        <v>0</v>
      </c>
      <c r="L50" s="1109"/>
      <c r="M50" s="1106"/>
      <c r="N50" s="1106"/>
      <c r="O50" s="1106"/>
      <c r="P50" s="1106"/>
      <c r="Q50" s="1106"/>
      <c r="R50" s="1106"/>
      <c r="S50" s="1107"/>
    </row>
    <row r="51" spans="1:19" ht="13.5" hidden="1" customHeight="1" x14ac:dyDescent="0.2">
      <c r="A51" s="1104"/>
      <c r="B51" s="1104"/>
      <c r="C51" s="1035"/>
      <c r="D51" s="920"/>
      <c r="E51" s="1076">
        <f t="shared" ref="E51:K51" si="21">E52+E53</f>
        <v>0</v>
      </c>
      <c r="F51" s="1076">
        <f t="shared" si="21"/>
        <v>0</v>
      </c>
      <c r="G51" s="1076">
        <f t="shared" si="21"/>
        <v>0</v>
      </c>
      <c r="H51" s="1076">
        <f t="shared" si="21"/>
        <v>0</v>
      </c>
      <c r="I51" s="1076">
        <f t="shared" si="21"/>
        <v>0</v>
      </c>
      <c r="J51" s="1076">
        <f t="shared" si="21"/>
        <v>0</v>
      </c>
      <c r="K51" s="1080">
        <f t="shared" si="21"/>
        <v>0</v>
      </c>
      <c r="L51" s="1110"/>
      <c r="M51" s="1106"/>
      <c r="N51" s="1106"/>
      <c r="O51" s="1106"/>
      <c r="P51" s="1106"/>
      <c r="Q51" s="1106"/>
      <c r="R51" s="1106"/>
      <c r="S51" s="1021" t="s">
        <v>146</v>
      </c>
    </row>
    <row r="52" spans="1:19" ht="12" hidden="1" customHeight="1" x14ac:dyDescent="0.2">
      <c r="A52" s="1104"/>
      <c r="B52" s="1104"/>
      <c r="C52" s="1035"/>
      <c r="D52" s="1068" t="s">
        <v>5</v>
      </c>
      <c r="E52" s="1030">
        <f>SUM(F52:K52)</f>
        <v>0</v>
      </c>
      <c r="F52" s="1030">
        <v>0</v>
      </c>
      <c r="G52" s="1030">
        <v>0</v>
      </c>
      <c r="H52" s="1030">
        <v>0</v>
      </c>
      <c r="I52" s="1030">
        <v>0</v>
      </c>
      <c r="J52" s="1030">
        <v>0</v>
      </c>
      <c r="K52" s="1084">
        <v>0</v>
      </c>
      <c r="L52" s="1110"/>
      <c r="M52" s="1106"/>
      <c r="N52" s="1106"/>
      <c r="O52" s="1106"/>
      <c r="P52" s="1106"/>
      <c r="Q52" s="1106"/>
      <c r="R52" s="1106"/>
      <c r="S52" s="1035"/>
    </row>
    <row r="53" spans="1:19" ht="14.25" hidden="1" customHeight="1" x14ac:dyDescent="0.2">
      <c r="A53" s="1104"/>
      <c r="B53" s="1104"/>
      <c r="C53" s="1035"/>
      <c r="D53" s="1108" t="s">
        <v>6</v>
      </c>
      <c r="E53" s="1033">
        <v>0</v>
      </c>
      <c r="F53" s="1033">
        <v>0</v>
      </c>
      <c r="G53" s="1033">
        <v>0</v>
      </c>
      <c r="H53" s="1033">
        <v>0</v>
      </c>
      <c r="I53" s="1033">
        <v>0</v>
      </c>
      <c r="J53" s="1033">
        <v>0</v>
      </c>
      <c r="K53" s="1088">
        <v>0</v>
      </c>
      <c r="L53" s="1110"/>
      <c r="M53" s="1106"/>
      <c r="N53" s="1106"/>
      <c r="O53" s="1106"/>
      <c r="P53" s="1106"/>
      <c r="Q53" s="1106"/>
      <c r="R53" s="1106"/>
      <c r="S53" s="1037"/>
    </row>
    <row r="54" spans="1:19" ht="14.25" customHeight="1" x14ac:dyDescent="0.2">
      <c r="A54" s="1111"/>
      <c r="B54" s="1079"/>
      <c r="C54" s="1079"/>
      <c r="D54" s="1068" t="s">
        <v>465</v>
      </c>
      <c r="E54" s="1030">
        <f>F54+G54+H54++I54+J54+K54</f>
        <v>892.54</v>
      </c>
      <c r="F54" s="1030">
        <f t="shared" ref="F54:K54" si="22">F55+F56</f>
        <v>122.37</v>
      </c>
      <c r="G54" s="1030">
        <f t="shared" si="22"/>
        <v>70.17</v>
      </c>
      <c r="H54" s="1030">
        <f t="shared" si="22"/>
        <v>130</v>
      </c>
      <c r="I54" s="1030">
        <f t="shared" si="22"/>
        <v>310</v>
      </c>
      <c r="J54" s="1030">
        <f t="shared" si="22"/>
        <v>130</v>
      </c>
      <c r="K54" s="1084">
        <f t="shared" si="22"/>
        <v>130</v>
      </c>
      <c r="L54" s="1048" t="s">
        <v>382</v>
      </c>
      <c r="M54" s="1112">
        <v>66</v>
      </c>
      <c r="N54" s="1113">
        <v>67</v>
      </c>
      <c r="O54" s="1113">
        <v>68</v>
      </c>
      <c r="P54" s="1113">
        <v>69</v>
      </c>
      <c r="Q54" s="1113">
        <v>70</v>
      </c>
      <c r="R54" s="1113">
        <v>70</v>
      </c>
      <c r="S54" s="1021" t="s">
        <v>447</v>
      </c>
    </row>
    <row r="55" spans="1:19" ht="14.25" customHeight="1" x14ac:dyDescent="0.2">
      <c r="A55" s="1111"/>
      <c r="B55" s="1079"/>
      <c r="C55" s="1079"/>
      <c r="D55" s="1068" t="s">
        <v>5</v>
      </c>
      <c r="E55" s="1030">
        <f>F55+G55+H55+I55+J55+K55</f>
        <v>582.54</v>
      </c>
      <c r="F55" s="1030">
        <v>122.37</v>
      </c>
      <c r="G55" s="1030">
        <v>70.17</v>
      </c>
      <c r="H55" s="1030">
        <v>130</v>
      </c>
      <c r="I55" s="1030">
        <f>130+135-265</f>
        <v>0</v>
      </c>
      <c r="J55" s="1030">
        <v>130</v>
      </c>
      <c r="K55" s="1084">
        <v>130</v>
      </c>
      <c r="L55" s="1114"/>
      <c r="M55" s="1115"/>
      <c r="N55" s="1116"/>
      <c r="O55" s="1116"/>
      <c r="P55" s="1116"/>
      <c r="Q55" s="1116"/>
      <c r="R55" s="1116"/>
      <c r="S55" s="1079"/>
    </row>
    <row r="56" spans="1:19" ht="14.25" customHeight="1" x14ac:dyDescent="0.2">
      <c r="A56" s="1111"/>
      <c r="B56" s="1079"/>
      <c r="C56" s="1079"/>
      <c r="D56" s="1108" t="s">
        <v>6</v>
      </c>
      <c r="E56" s="1033">
        <f>F56+G56+H56+I56+J56+K56</f>
        <v>310</v>
      </c>
      <c r="F56" s="1033">
        <v>0</v>
      </c>
      <c r="G56" s="1033">
        <v>0</v>
      </c>
      <c r="H56" s="1033">
        <v>0</v>
      </c>
      <c r="I56" s="1033">
        <v>310</v>
      </c>
      <c r="J56" s="1033">
        <v>0</v>
      </c>
      <c r="K56" s="1088">
        <v>0</v>
      </c>
      <c r="L56" s="1114"/>
      <c r="M56" s="1115"/>
      <c r="N56" s="1116"/>
      <c r="O56" s="1116"/>
      <c r="P56" s="1116"/>
      <c r="Q56" s="1116"/>
      <c r="R56" s="1116"/>
      <c r="S56" s="1117"/>
    </row>
    <row r="57" spans="1:19" ht="14.25" customHeight="1" x14ac:dyDescent="0.2">
      <c r="A57" s="1111"/>
      <c r="B57" s="1079"/>
      <c r="C57" s="1079"/>
      <c r="D57" s="1068"/>
      <c r="E57" s="1030">
        <f>F57+G57+H57+I57+J57+K57</f>
        <v>1259.5999999999999</v>
      </c>
      <c r="F57" s="1030">
        <f t="shared" ref="F57:K57" si="23">F58+F59</f>
        <v>0</v>
      </c>
      <c r="G57" s="1030">
        <f t="shared" si="23"/>
        <v>0</v>
      </c>
      <c r="H57" s="1030">
        <f t="shared" si="23"/>
        <v>50</v>
      </c>
      <c r="I57" s="1030">
        <f t="shared" si="23"/>
        <v>1109.5999999999999</v>
      </c>
      <c r="J57" s="1030">
        <f t="shared" si="23"/>
        <v>50</v>
      </c>
      <c r="K57" s="1084">
        <f t="shared" si="23"/>
        <v>50</v>
      </c>
      <c r="L57" s="1114"/>
      <c r="M57" s="1115"/>
      <c r="N57" s="1116"/>
      <c r="O57" s="1116"/>
      <c r="P57" s="1116"/>
      <c r="Q57" s="1116"/>
      <c r="R57" s="1116"/>
      <c r="S57" s="1021" t="s">
        <v>146</v>
      </c>
    </row>
    <row r="58" spans="1:19" ht="14.25" customHeight="1" x14ac:dyDescent="0.2">
      <c r="A58" s="1111"/>
      <c r="B58" s="1079"/>
      <c r="C58" s="1079"/>
      <c r="D58" s="1068" t="s">
        <v>5</v>
      </c>
      <c r="E58" s="1030">
        <f>F58+G58+H58+I58+J58+K58</f>
        <v>150</v>
      </c>
      <c r="F58" s="1030">
        <v>0</v>
      </c>
      <c r="G58" s="1030">
        <v>0</v>
      </c>
      <c r="H58" s="1030">
        <v>50</v>
      </c>
      <c r="I58" s="1030">
        <f>50-50</f>
        <v>0</v>
      </c>
      <c r="J58" s="1030">
        <v>50</v>
      </c>
      <c r="K58" s="1084">
        <v>50</v>
      </c>
      <c r="L58" s="1114"/>
      <c r="M58" s="1115"/>
      <c r="N58" s="1116"/>
      <c r="O58" s="1116"/>
      <c r="P58" s="1116"/>
      <c r="Q58" s="1116"/>
      <c r="R58" s="1116"/>
      <c r="S58" s="1079"/>
    </row>
    <row r="59" spans="1:19" ht="14.25" customHeight="1" x14ac:dyDescent="0.2">
      <c r="A59" s="1118"/>
      <c r="B59" s="1117"/>
      <c r="C59" s="1117"/>
      <c r="D59" s="1108" t="s">
        <v>6</v>
      </c>
      <c r="E59" s="1033">
        <f>F59+G59+H59+I59+J59+K59</f>
        <v>1109.5999999999999</v>
      </c>
      <c r="F59" s="1033">
        <v>0</v>
      </c>
      <c r="G59" s="1033">
        <v>0</v>
      </c>
      <c r="H59" s="1033">
        <v>0</v>
      </c>
      <c r="I59" s="1033">
        <f>2862-2517.3+364+400.9</f>
        <v>1109.5999999999999</v>
      </c>
      <c r="J59" s="1033">
        <v>0</v>
      </c>
      <c r="K59" s="1088">
        <v>0</v>
      </c>
      <c r="L59" s="1119"/>
      <c r="M59" s="1120"/>
      <c r="N59" s="1121"/>
      <c r="O59" s="1121"/>
      <c r="P59" s="1121"/>
      <c r="Q59" s="1121"/>
      <c r="R59" s="1121"/>
      <c r="S59" s="1117"/>
    </row>
    <row r="60" spans="1:19" ht="12.75" customHeight="1" x14ac:dyDescent="0.2">
      <c r="A60" s="1122" t="s">
        <v>38</v>
      </c>
      <c r="B60" s="1123" t="s">
        <v>334</v>
      </c>
      <c r="C60" s="1040"/>
      <c r="D60" s="1040"/>
      <c r="E60" s="1040"/>
      <c r="F60" s="1040"/>
      <c r="G60" s="1040"/>
      <c r="H60" s="1040"/>
      <c r="I60" s="1040"/>
      <c r="J60" s="1040"/>
      <c r="K60" s="1040"/>
      <c r="L60" s="1124"/>
      <c r="M60" s="1038"/>
      <c r="N60" s="1038"/>
      <c r="O60" s="1038"/>
      <c r="P60" s="1038"/>
      <c r="Q60" s="1038"/>
      <c r="R60" s="1038"/>
      <c r="S60" s="1038"/>
    </row>
    <row r="61" spans="1:19" ht="27" customHeight="1" x14ac:dyDescent="0.2">
      <c r="A61" s="1065" t="s">
        <v>39</v>
      </c>
      <c r="B61" s="1020" t="s">
        <v>326</v>
      </c>
      <c r="C61" s="1125" t="s">
        <v>359</v>
      </c>
      <c r="D61" s="1022" t="s">
        <v>327</v>
      </c>
      <c r="E61" s="1023">
        <f>SUM(F61:K61)</f>
        <v>84</v>
      </c>
      <c r="F61" s="1023">
        <f t="shared" ref="F61:K61" si="24">F66+F67</f>
        <v>13</v>
      </c>
      <c r="G61" s="1023">
        <f t="shared" si="24"/>
        <v>13</v>
      </c>
      <c r="H61" s="1023">
        <f t="shared" si="24"/>
        <v>13</v>
      </c>
      <c r="I61" s="1023">
        <f t="shared" si="24"/>
        <v>15</v>
      </c>
      <c r="J61" s="1023">
        <f t="shared" si="24"/>
        <v>15</v>
      </c>
      <c r="K61" s="1023">
        <f t="shared" si="24"/>
        <v>15</v>
      </c>
      <c r="L61" s="962" t="s">
        <v>385</v>
      </c>
      <c r="M61" s="491">
        <v>29</v>
      </c>
      <c r="N61" s="491">
        <v>30</v>
      </c>
      <c r="O61" s="491">
        <v>31</v>
      </c>
      <c r="P61" s="491">
        <v>32</v>
      </c>
      <c r="Q61" s="491">
        <v>33</v>
      </c>
      <c r="R61" s="491">
        <v>34</v>
      </c>
      <c r="S61" s="1019" t="s">
        <v>448</v>
      </c>
    </row>
    <row r="62" spans="1:19" ht="13.5" hidden="1" customHeight="1" x14ac:dyDescent="0.2">
      <c r="A62" s="1126"/>
      <c r="B62" s="1061"/>
      <c r="C62" s="1127"/>
      <c r="D62" s="1035"/>
      <c r="E62" s="1128"/>
      <c r="F62" s="1030"/>
      <c r="G62" s="1030"/>
      <c r="H62" s="1030"/>
      <c r="I62" s="1128"/>
      <c r="J62" s="1128"/>
      <c r="K62" s="1128"/>
      <c r="L62" s="971"/>
      <c r="M62" s="492"/>
      <c r="N62" s="492"/>
      <c r="O62" s="492"/>
      <c r="P62" s="492"/>
      <c r="Q62" s="492"/>
      <c r="R62" s="492"/>
      <c r="S62" s="1060"/>
    </row>
    <row r="63" spans="1:19" ht="11.25" hidden="1" customHeight="1" x14ac:dyDescent="0.2">
      <c r="A63" s="1104"/>
      <c r="B63" s="1061"/>
      <c r="C63" s="1127"/>
      <c r="D63" s="1035"/>
      <c r="E63" s="1128"/>
      <c r="F63" s="1030"/>
      <c r="G63" s="1030"/>
      <c r="H63" s="1030"/>
      <c r="I63" s="1128"/>
      <c r="J63" s="1128"/>
      <c r="K63" s="1128"/>
      <c r="L63" s="971"/>
      <c r="M63" s="492"/>
      <c r="N63" s="492"/>
      <c r="O63" s="492"/>
      <c r="P63" s="492"/>
      <c r="Q63" s="492"/>
      <c r="R63" s="492"/>
      <c r="S63" s="1060"/>
    </row>
    <row r="64" spans="1:19" ht="8.25" hidden="1" customHeight="1" x14ac:dyDescent="0.2">
      <c r="A64" s="1104"/>
      <c r="B64" s="1061"/>
      <c r="C64" s="1127"/>
      <c r="D64" s="1035"/>
      <c r="E64" s="1128"/>
      <c r="F64" s="1030"/>
      <c r="G64" s="1030"/>
      <c r="H64" s="1030"/>
      <c r="I64" s="1128"/>
      <c r="J64" s="1128"/>
      <c r="K64" s="1128"/>
      <c r="L64" s="971"/>
      <c r="M64" s="492"/>
      <c r="N64" s="492"/>
      <c r="O64" s="492"/>
      <c r="P64" s="492"/>
      <c r="Q64" s="492"/>
      <c r="R64" s="492"/>
      <c r="S64" s="1060"/>
    </row>
    <row r="65" spans="1:20" ht="14.25" hidden="1" customHeight="1" thickBot="1" x14ac:dyDescent="0.25">
      <c r="A65" s="1104"/>
      <c r="B65" s="1061"/>
      <c r="C65" s="1127"/>
      <c r="D65" s="1035"/>
      <c r="E65" s="1128"/>
      <c r="F65" s="1030"/>
      <c r="G65" s="1030"/>
      <c r="H65" s="1030"/>
      <c r="I65" s="1128"/>
      <c r="J65" s="1128"/>
      <c r="K65" s="1128"/>
      <c r="L65" s="971"/>
      <c r="M65" s="492"/>
      <c r="N65" s="492"/>
      <c r="O65" s="492"/>
      <c r="P65" s="492"/>
      <c r="Q65" s="492"/>
      <c r="R65" s="492"/>
      <c r="S65" s="1060"/>
    </row>
    <row r="66" spans="1:20" ht="13.5" customHeight="1" x14ac:dyDescent="0.2">
      <c r="A66" s="1104"/>
      <c r="B66" s="1061"/>
      <c r="C66" s="1129"/>
      <c r="D66" s="389" t="s">
        <v>5</v>
      </c>
      <c r="E66" s="1030">
        <f>SUM(F66:K66)</f>
        <v>84</v>
      </c>
      <c r="F66" s="1030">
        <v>13</v>
      </c>
      <c r="G66" s="1030">
        <v>13</v>
      </c>
      <c r="H66" s="1030">
        <v>13</v>
      </c>
      <c r="I66" s="1030">
        <v>15</v>
      </c>
      <c r="J66" s="1030">
        <v>15</v>
      </c>
      <c r="K66" s="1030">
        <v>15</v>
      </c>
      <c r="L66" s="971"/>
      <c r="M66" s="492"/>
      <c r="N66" s="492"/>
      <c r="O66" s="492"/>
      <c r="P66" s="492"/>
      <c r="Q66" s="492"/>
      <c r="R66" s="492"/>
      <c r="S66" s="1060"/>
    </row>
    <row r="67" spans="1:20" ht="27.75" customHeight="1" x14ac:dyDescent="0.2">
      <c r="A67" s="1072"/>
      <c r="B67" s="1061"/>
      <c r="C67" s="1130"/>
      <c r="D67" s="389" t="s">
        <v>6</v>
      </c>
      <c r="E67" s="1030">
        <f>SUM(F67:K67)</f>
        <v>0</v>
      </c>
      <c r="F67" s="1030">
        <v>0</v>
      </c>
      <c r="G67" s="1030">
        <v>0</v>
      </c>
      <c r="H67" s="1030">
        <v>0</v>
      </c>
      <c r="I67" s="1030">
        <v>0</v>
      </c>
      <c r="J67" s="1030">
        <v>0</v>
      </c>
      <c r="K67" s="1030">
        <v>0</v>
      </c>
      <c r="L67" s="971"/>
      <c r="M67" s="492"/>
      <c r="N67" s="492"/>
      <c r="O67" s="492"/>
      <c r="P67" s="492"/>
      <c r="Q67" s="492"/>
      <c r="R67" s="492"/>
      <c r="S67" s="1060"/>
    </row>
    <row r="68" spans="1:20" ht="13.9" customHeight="1" x14ac:dyDescent="0.25">
      <c r="A68" s="1131" t="s">
        <v>116</v>
      </c>
      <c r="B68" s="1038" t="s">
        <v>453</v>
      </c>
      <c r="C68" s="1132"/>
      <c r="D68" s="1132"/>
      <c r="E68" s="1132"/>
      <c r="F68" s="1132"/>
      <c r="G68" s="1132"/>
      <c r="H68" s="1132"/>
      <c r="I68" s="1132"/>
      <c r="J68" s="1132"/>
      <c r="K68" s="1132"/>
      <c r="L68" s="1132"/>
      <c r="M68" s="1132"/>
      <c r="N68" s="1132"/>
      <c r="O68" s="1132"/>
      <c r="P68" s="1132"/>
      <c r="Q68" s="1132"/>
      <c r="R68" s="1132"/>
      <c r="S68" s="1132"/>
    </row>
    <row r="69" spans="1:20" s="1136" customFormat="1" ht="29.25" customHeight="1" x14ac:dyDescent="0.2">
      <c r="A69" s="1065" t="s">
        <v>455</v>
      </c>
      <c r="B69" s="1020" t="s">
        <v>483</v>
      </c>
      <c r="C69" s="1101" t="s">
        <v>359</v>
      </c>
      <c r="D69" s="1022" t="s">
        <v>327</v>
      </c>
      <c r="E69" s="1133">
        <f>E71</f>
        <v>110.5</v>
      </c>
      <c r="F69" s="1023">
        <v>0</v>
      </c>
      <c r="G69" s="1134">
        <f>G71</f>
        <v>110.5</v>
      </c>
      <c r="H69" s="1023">
        <v>0</v>
      </c>
      <c r="I69" s="1023">
        <v>0</v>
      </c>
      <c r="J69" s="1023">
        <v>0</v>
      </c>
      <c r="K69" s="1023">
        <v>0</v>
      </c>
      <c r="L69" s="962" t="s">
        <v>458</v>
      </c>
      <c r="M69" s="491">
        <v>0</v>
      </c>
      <c r="N69" s="491">
        <v>100</v>
      </c>
      <c r="O69" s="948">
        <v>0</v>
      </c>
      <c r="P69" s="948">
        <v>0</v>
      </c>
      <c r="Q69" s="948">
        <v>0</v>
      </c>
      <c r="R69" s="948">
        <v>0</v>
      </c>
      <c r="S69" s="1135" t="s">
        <v>330</v>
      </c>
    </row>
    <row r="70" spans="1:20" s="1137" customFormat="1" ht="18" customHeight="1" x14ac:dyDescent="0.2">
      <c r="A70" s="1104"/>
      <c r="B70" s="1061"/>
      <c r="C70" s="1105"/>
      <c r="D70" s="389" t="s">
        <v>5</v>
      </c>
      <c r="E70" s="1030">
        <v>0</v>
      </c>
      <c r="F70" s="1030">
        <v>0</v>
      </c>
      <c r="G70" s="1030">
        <v>0</v>
      </c>
      <c r="H70" s="1030">
        <v>0</v>
      </c>
      <c r="I70" s="1030">
        <v>0</v>
      </c>
      <c r="J70" s="1030">
        <v>0</v>
      </c>
      <c r="K70" s="1030">
        <v>0</v>
      </c>
      <c r="L70" s="971"/>
      <c r="M70" s="492"/>
      <c r="N70" s="492"/>
      <c r="O70" s="948"/>
      <c r="P70" s="948"/>
      <c r="Q70" s="948"/>
      <c r="R70" s="948"/>
      <c r="S70" s="1135"/>
    </row>
    <row r="71" spans="1:20" s="1137" customFormat="1" ht="39.75" customHeight="1" thickBot="1" x14ac:dyDescent="0.25">
      <c r="A71" s="1072"/>
      <c r="B71" s="1073"/>
      <c r="C71" s="1109"/>
      <c r="D71" s="389" t="s">
        <v>6</v>
      </c>
      <c r="E71" s="1030">
        <v>110.5</v>
      </c>
      <c r="F71" s="1030">
        <v>0</v>
      </c>
      <c r="G71" s="1030">
        <v>110.5</v>
      </c>
      <c r="H71" s="1030">
        <v>0</v>
      </c>
      <c r="I71" s="1030">
        <v>0</v>
      </c>
      <c r="J71" s="1030">
        <v>0</v>
      </c>
      <c r="K71" s="1030">
        <v>0</v>
      </c>
      <c r="L71" s="1036"/>
      <c r="M71" s="493"/>
      <c r="N71" s="493"/>
      <c r="O71" s="948"/>
      <c r="P71" s="948"/>
      <c r="Q71" s="948"/>
      <c r="R71" s="948"/>
      <c r="S71" s="1135"/>
    </row>
    <row r="72" spans="1:20" ht="24" customHeight="1" x14ac:dyDescent="0.2">
      <c r="A72" s="1037"/>
      <c r="B72" s="1138" t="s">
        <v>13</v>
      </c>
      <c r="C72" s="1139"/>
      <c r="D72" s="1140" t="s">
        <v>327</v>
      </c>
      <c r="E72" s="1141">
        <f>SUM(F72:K72)</f>
        <v>18080.149999999998</v>
      </c>
      <c r="F72" s="1142">
        <f t="shared" ref="F72:K72" si="25">F73+F74</f>
        <v>1417.9899999999998</v>
      </c>
      <c r="G72" s="1142">
        <f t="shared" si="25"/>
        <v>1374.29</v>
      </c>
      <c r="H72" s="1142">
        <f t="shared" si="25"/>
        <v>1839.08</v>
      </c>
      <c r="I72" s="1142">
        <f t="shared" si="25"/>
        <v>9570.33</v>
      </c>
      <c r="J72" s="1142">
        <f t="shared" si="25"/>
        <v>1937.73</v>
      </c>
      <c r="K72" s="1143">
        <f t="shared" si="25"/>
        <v>1940.73</v>
      </c>
      <c r="L72" s="1144"/>
      <c r="M72" s="1026"/>
      <c r="N72" s="1026"/>
      <c r="O72" s="1026"/>
      <c r="P72" s="1026"/>
      <c r="Q72" s="1026"/>
      <c r="R72" s="1021"/>
      <c r="S72" s="1026"/>
      <c r="T72" s="1027"/>
    </row>
    <row r="73" spans="1:20" ht="12" customHeight="1" x14ac:dyDescent="0.2">
      <c r="A73" s="1145"/>
      <c r="B73" s="1145"/>
      <c r="C73" s="1146"/>
      <c r="D73" s="1147" t="s">
        <v>5</v>
      </c>
      <c r="E73" s="1148">
        <f>SUM(F73:K73)</f>
        <v>5267.88</v>
      </c>
      <c r="F73" s="1148">
        <f t="shared" ref="F73:K73" si="26">F61+F34+F30+F26+F12</f>
        <v>833.81</v>
      </c>
      <c r="G73" s="1148">
        <f t="shared" si="26"/>
        <v>551.78</v>
      </c>
      <c r="H73" s="1148">
        <f t="shared" si="26"/>
        <v>1003.6</v>
      </c>
      <c r="I73" s="1148">
        <f t="shared" si="26"/>
        <v>843.63</v>
      </c>
      <c r="J73" s="1148">
        <f t="shared" si="26"/>
        <v>1016.03</v>
      </c>
      <c r="K73" s="1149">
        <f t="shared" si="26"/>
        <v>1019.03</v>
      </c>
      <c r="L73" s="1150"/>
      <c r="M73" s="1145"/>
      <c r="N73" s="1145"/>
      <c r="O73" s="1145"/>
      <c r="P73" s="1145"/>
      <c r="Q73" s="1145"/>
      <c r="R73" s="1035"/>
      <c r="S73" s="1013"/>
    </row>
    <row r="74" spans="1:20" ht="12.75" customHeight="1" thickBot="1" x14ac:dyDescent="0.25">
      <c r="A74" s="1145"/>
      <c r="B74" s="1145"/>
      <c r="C74" s="1146"/>
      <c r="D74" s="1151" t="s">
        <v>6</v>
      </c>
      <c r="E74" s="1152">
        <f>K74+J74+I74+H74+G74+F74</f>
        <v>12812.27</v>
      </c>
      <c r="F74" s="1152">
        <f>F62+F35+F31+F27+F13</f>
        <v>584.17999999999995</v>
      </c>
      <c r="G74" s="1152">
        <f>G62+G35+G31+G27+G13+G71</f>
        <v>822.51</v>
      </c>
      <c r="H74" s="1152">
        <f>H62+H35+H31+H27+H13</f>
        <v>835.48</v>
      </c>
      <c r="I74" s="1152">
        <f>I62+I35+I31+I27+I13</f>
        <v>8726.7000000000007</v>
      </c>
      <c r="J74" s="1152">
        <f>J62+J35+J31+J27+J13</f>
        <v>921.7</v>
      </c>
      <c r="K74" s="1153">
        <f>K62+K35+K31+K27+K13</f>
        <v>921.7</v>
      </c>
      <c r="L74" s="1150"/>
      <c r="M74" s="1145"/>
      <c r="N74" s="1145"/>
      <c r="O74" s="1145"/>
      <c r="P74" s="1145"/>
      <c r="Q74" s="1145"/>
      <c r="R74" s="1037"/>
      <c r="S74" s="1013"/>
    </row>
  </sheetData>
  <mergeCells count="156">
    <mergeCell ref="B57:B59"/>
    <mergeCell ref="E6:K6"/>
    <mergeCell ref="L18:L19"/>
    <mergeCell ref="M18:M19"/>
    <mergeCell ref="N18:N19"/>
    <mergeCell ref="O18:O19"/>
    <mergeCell ref="P18:P19"/>
    <mergeCell ref="Q18:Q19"/>
    <mergeCell ref="B48:B50"/>
    <mergeCell ref="L11:L13"/>
    <mergeCell ref="M11:M13"/>
    <mergeCell ref="N11:N13"/>
    <mergeCell ref="O11:O13"/>
    <mergeCell ref="P11:P13"/>
    <mergeCell ref="Q11:Q13"/>
    <mergeCell ref="R11:R13"/>
    <mergeCell ref="B54:B56"/>
    <mergeCell ref="B14:B16"/>
    <mergeCell ref="C14:C16"/>
    <mergeCell ref="S39:S41"/>
    <mergeCell ref="M29:M31"/>
    <mergeCell ref="L39:L41"/>
    <mergeCell ref="C21:C27"/>
    <mergeCell ref="M21:M27"/>
    <mergeCell ref="K22:K23"/>
    <mergeCell ref="R14:R16"/>
    <mergeCell ref="O14:O16"/>
    <mergeCell ref="R18:R19"/>
    <mergeCell ref="S42:S44"/>
    <mergeCell ref="S45:S47"/>
    <mergeCell ref="R54:R59"/>
    <mergeCell ref="L43:L44"/>
    <mergeCell ref="M43:M44"/>
    <mergeCell ref="N43:N44"/>
    <mergeCell ref="O43:O44"/>
    <mergeCell ref="P43:P44"/>
    <mergeCell ref="Q43:Q44"/>
    <mergeCell ref="R43:R44"/>
    <mergeCell ref="R45:R47"/>
    <mergeCell ref="M1:S1"/>
    <mergeCell ref="M2:S2"/>
    <mergeCell ref="S36:S38"/>
    <mergeCell ref="L33:L35"/>
    <mergeCell ref="S29:S31"/>
    <mergeCell ref="P14:P16"/>
    <mergeCell ref="S21:S27"/>
    <mergeCell ref="N21:N27"/>
    <mergeCell ref="R21:R27"/>
    <mergeCell ref="L14:L16"/>
    <mergeCell ref="M14:M16"/>
    <mergeCell ref="N14:N16"/>
    <mergeCell ref="I3:S3"/>
    <mergeCell ref="A4:S4"/>
    <mergeCell ref="L6:R6"/>
    <mergeCell ref="B9:S9"/>
    <mergeCell ref="B6:B7"/>
    <mergeCell ref="B10:S10"/>
    <mergeCell ref="D6:D7"/>
    <mergeCell ref="C6:C7"/>
    <mergeCell ref="S14:S16"/>
    <mergeCell ref="S6:S7"/>
    <mergeCell ref="C33:C59"/>
    <mergeCell ref="L29:L31"/>
    <mergeCell ref="R72:R74"/>
    <mergeCell ref="Q72:Q74"/>
    <mergeCell ref="S72:S74"/>
    <mergeCell ref="Q29:Q31"/>
    <mergeCell ref="R29:R31"/>
    <mergeCell ref="B60:S60"/>
    <mergeCell ref="S51:S53"/>
    <mergeCell ref="S69:S71"/>
    <mergeCell ref="S61:S67"/>
    <mergeCell ref="R61:R67"/>
    <mergeCell ref="B68:S68"/>
    <mergeCell ref="B69:B71"/>
    <mergeCell ref="C69:C71"/>
    <mergeCell ref="I62:I65"/>
    <mergeCell ref="E62:E65"/>
    <mergeCell ref="D62:D65"/>
    <mergeCell ref="R69:R71"/>
    <mergeCell ref="O69:O71"/>
    <mergeCell ref="S54:S56"/>
    <mergeCell ref="S57:S59"/>
    <mergeCell ref="M61:M67"/>
    <mergeCell ref="P61:P67"/>
    <mergeCell ref="Q61:Q67"/>
    <mergeCell ref="P72:P74"/>
    <mergeCell ref="O72:O74"/>
    <mergeCell ref="P69:P71"/>
    <mergeCell ref="N69:N71"/>
    <mergeCell ref="M69:M71"/>
    <mergeCell ref="L69:L71"/>
    <mergeCell ref="Q69:Q71"/>
    <mergeCell ref="M72:M74"/>
    <mergeCell ref="L45:L47"/>
    <mergeCell ref="N61:N67"/>
    <mergeCell ref="O61:O67"/>
    <mergeCell ref="L54:L59"/>
    <mergeCell ref="M54:M59"/>
    <mergeCell ref="N54:N59"/>
    <mergeCell ref="O54:O59"/>
    <mergeCell ref="P54:P59"/>
    <mergeCell ref="Q54:Q59"/>
    <mergeCell ref="M45:M47"/>
    <mergeCell ref="N45:N47"/>
    <mergeCell ref="O45:O47"/>
    <mergeCell ref="P45:P47"/>
    <mergeCell ref="Q45:Q47"/>
    <mergeCell ref="C61:C65"/>
    <mergeCell ref="J62:J65"/>
    <mergeCell ref="L61:L67"/>
    <mergeCell ref="K62:K65"/>
    <mergeCell ref="N72:N74"/>
    <mergeCell ref="A11:A13"/>
    <mergeCell ref="A29:A31"/>
    <mergeCell ref="C29:C31"/>
    <mergeCell ref="B21:B27"/>
    <mergeCell ref="B11:B13"/>
    <mergeCell ref="A72:A74"/>
    <mergeCell ref="B72:B74"/>
    <mergeCell ref="C72:C74"/>
    <mergeCell ref="L72:L74"/>
    <mergeCell ref="B61:B67"/>
    <mergeCell ref="B39:B47"/>
    <mergeCell ref="A36:A38"/>
    <mergeCell ref="A39:A47"/>
    <mergeCell ref="B36:B38"/>
    <mergeCell ref="L48:L50"/>
    <mergeCell ref="C11:C13"/>
    <mergeCell ref="A17:A19"/>
    <mergeCell ref="B17:B19"/>
    <mergeCell ref="C17:C19"/>
    <mergeCell ref="A6:A7"/>
    <mergeCell ref="B28:S28"/>
    <mergeCell ref="T6:T7"/>
    <mergeCell ref="B33:B35"/>
    <mergeCell ref="L21:L27"/>
    <mergeCell ref="A21:A27"/>
    <mergeCell ref="Q14:Q16"/>
    <mergeCell ref="P21:P27"/>
    <mergeCell ref="P29:P31"/>
    <mergeCell ref="B29:B31"/>
    <mergeCell ref="D22:D25"/>
    <mergeCell ref="B20:S20"/>
    <mergeCell ref="N29:N31"/>
    <mergeCell ref="O29:O31"/>
    <mergeCell ref="S33:S35"/>
    <mergeCell ref="B32:S32"/>
    <mergeCell ref="I22:I23"/>
    <mergeCell ref="E22:E23"/>
    <mergeCell ref="J22:J23"/>
    <mergeCell ref="S11:S13"/>
    <mergeCell ref="S17:S19"/>
    <mergeCell ref="A14:A16"/>
    <mergeCell ref="O21:O27"/>
    <mergeCell ref="Q21:Q27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  <pageSetUpPr fitToPage="1"/>
  </sheetPr>
  <dimension ref="A1:Q45"/>
  <sheetViews>
    <sheetView zoomScaleSheetLayoutView="100" workbookViewId="0">
      <pane ySplit="7" topLeftCell="A32" activePane="bottomLeft" state="frozen"/>
      <selection pane="bottomLeft" activeCell="C46" sqref="C46"/>
    </sheetView>
  </sheetViews>
  <sheetFormatPr defaultColWidth="19.5703125" defaultRowHeight="18.75" customHeight="1" x14ac:dyDescent="0.2"/>
  <cols>
    <col min="1" max="1" width="6.42578125" style="2" customWidth="1"/>
    <col min="2" max="2" width="24.5703125" style="1" customWidth="1"/>
    <col min="3" max="3" width="8.42578125" style="1" customWidth="1"/>
    <col min="4" max="4" width="8" style="1" customWidth="1"/>
    <col min="5" max="5" width="8.42578125" style="3" customWidth="1"/>
    <col min="6" max="6" width="7.42578125" style="3" customWidth="1"/>
    <col min="7" max="7" width="8.140625" style="3" customWidth="1"/>
    <col min="8" max="10" width="8.42578125" style="3" customWidth="1"/>
    <col min="11" max="11" width="16.85546875" style="4" customWidth="1"/>
    <col min="12" max="16" width="5" style="3" customWidth="1"/>
    <col min="17" max="17" width="21.85546875" style="1" customWidth="1"/>
    <col min="18" max="16384" width="19.5703125" style="1"/>
  </cols>
  <sheetData>
    <row r="1" spans="1:17" ht="51.75" customHeight="1" x14ac:dyDescent="0.2">
      <c r="A1" s="25"/>
      <c r="B1" s="11"/>
      <c r="C1" s="11"/>
      <c r="D1" s="11"/>
      <c r="E1" s="26"/>
      <c r="F1" s="26"/>
      <c r="G1" s="26"/>
      <c r="H1" s="560" t="s">
        <v>302</v>
      </c>
      <c r="I1" s="560"/>
      <c r="J1" s="560"/>
      <c r="K1" s="560"/>
      <c r="L1" s="560"/>
      <c r="M1" s="560"/>
      <c r="N1" s="560"/>
      <c r="O1" s="560"/>
      <c r="P1" s="560"/>
      <c r="Q1" s="560"/>
    </row>
    <row r="2" spans="1:17" ht="29.25" customHeight="1" x14ac:dyDescent="0.2">
      <c r="A2" s="561" t="s">
        <v>158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</row>
    <row r="3" spans="1:17" ht="11.25" customHeight="1" x14ac:dyDescent="0.2">
      <c r="A3" s="25"/>
      <c r="B3" s="11"/>
      <c r="C3" s="11"/>
      <c r="D3" s="11"/>
      <c r="E3" s="26"/>
      <c r="F3" s="26"/>
      <c r="G3" s="26"/>
      <c r="H3" s="26"/>
      <c r="I3" s="26"/>
      <c r="J3" s="26"/>
      <c r="K3" s="27"/>
      <c r="L3" s="26"/>
      <c r="M3" s="26"/>
      <c r="N3" s="26"/>
      <c r="O3" s="26"/>
      <c r="P3" s="26"/>
      <c r="Q3" s="12" t="s">
        <v>7</v>
      </c>
    </row>
    <row r="4" spans="1:17" ht="30" customHeight="1" x14ac:dyDescent="0.2">
      <c r="A4" s="562" t="s">
        <v>16</v>
      </c>
      <c r="B4" s="563" t="s">
        <v>15</v>
      </c>
      <c r="C4" s="562" t="s">
        <v>8</v>
      </c>
      <c r="D4" s="562" t="s">
        <v>9</v>
      </c>
      <c r="E4" s="565" t="s">
        <v>0</v>
      </c>
      <c r="F4" s="566"/>
      <c r="G4" s="566"/>
      <c r="H4" s="566"/>
      <c r="I4" s="566"/>
      <c r="J4" s="567"/>
      <c r="K4" s="565" t="s">
        <v>17</v>
      </c>
      <c r="L4" s="566"/>
      <c r="M4" s="566"/>
      <c r="N4" s="566"/>
      <c r="O4" s="566"/>
      <c r="P4" s="567"/>
      <c r="Q4" s="563" t="s">
        <v>163</v>
      </c>
    </row>
    <row r="5" spans="1:17" ht="13.5" customHeight="1" x14ac:dyDescent="0.2">
      <c r="A5" s="562"/>
      <c r="B5" s="564"/>
      <c r="C5" s="562"/>
      <c r="D5" s="562"/>
      <c r="E5" s="75" t="s">
        <v>1</v>
      </c>
      <c r="F5" s="75" t="s">
        <v>2</v>
      </c>
      <c r="G5" s="75" t="s">
        <v>3</v>
      </c>
      <c r="H5" s="75" t="s">
        <v>57</v>
      </c>
      <c r="I5" s="75" t="s">
        <v>155</v>
      </c>
      <c r="J5" s="75" t="s">
        <v>156</v>
      </c>
      <c r="K5" s="75" t="s">
        <v>4</v>
      </c>
      <c r="L5" s="75">
        <v>2014</v>
      </c>
      <c r="M5" s="75">
        <v>2015</v>
      </c>
      <c r="N5" s="75">
        <v>2016</v>
      </c>
      <c r="O5" s="75">
        <v>2017</v>
      </c>
      <c r="P5" s="75">
        <v>2018</v>
      </c>
      <c r="Q5" s="564"/>
    </row>
    <row r="6" spans="1:17" ht="11.25" customHeight="1" x14ac:dyDescent="0.2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  <c r="Q6" s="71">
        <v>17</v>
      </c>
    </row>
    <row r="7" spans="1:17" ht="14.25" customHeight="1" x14ac:dyDescent="0.2">
      <c r="A7" s="13"/>
      <c r="B7" s="571" t="s">
        <v>18</v>
      </c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</row>
    <row r="8" spans="1:17" ht="14.25" customHeight="1" x14ac:dyDescent="0.2">
      <c r="A8" s="21" t="s">
        <v>72</v>
      </c>
      <c r="B8" s="765" t="s">
        <v>73</v>
      </c>
      <c r="C8" s="765"/>
      <c r="D8" s="765"/>
      <c r="E8" s="765"/>
      <c r="F8" s="765"/>
      <c r="G8" s="765"/>
      <c r="H8" s="765"/>
      <c r="I8" s="765"/>
      <c r="J8" s="765"/>
      <c r="K8" s="765"/>
      <c r="L8" s="765"/>
      <c r="M8" s="765"/>
      <c r="N8" s="765"/>
      <c r="O8" s="765"/>
      <c r="P8" s="765"/>
      <c r="Q8" s="765"/>
    </row>
    <row r="9" spans="1:17" ht="19.350000000000001" customHeight="1" x14ac:dyDescent="0.2">
      <c r="A9" s="761" t="s">
        <v>10</v>
      </c>
      <c r="B9" s="766" t="s">
        <v>198</v>
      </c>
      <c r="C9" s="642" t="s">
        <v>162</v>
      </c>
      <c r="D9" s="117" t="s">
        <v>215</v>
      </c>
      <c r="E9" s="110">
        <f t="shared" ref="E9:J9" si="0">SUM(E10:E11)</f>
        <v>66</v>
      </c>
      <c r="F9" s="110">
        <f t="shared" si="0"/>
        <v>14</v>
      </c>
      <c r="G9" s="110">
        <f t="shared" si="0"/>
        <v>10</v>
      </c>
      <c r="H9" s="110">
        <f t="shared" si="0"/>
        <v>14</v>
      </c>
      <c r="I9" s="110">
        <f t="shared" si="0"/>
        <v>14</v>
      </c>
      <c r="J9" s="110">
        <f t="shared" si="0"/>
        <v>14</v>
      </c>
      <c r="K9" s="603" t="s">
        <v>229</v>
      </c>
      <c r="L9" s="131"/>
      <c r="M9" s="131"/>
      <c r="N9" s="131"/>
      <c r="O9" s="131"/>
      <c r="P9" s="131"/>
      <c r="Q9" s="113"/>
    </row>
    <row r="10" spans="1:17" ht="12.6" customHeight="1" x14ac:dyDescent="0.2">
      <c r="A10" s="773"/>
      <c r="B10" s="771"/>
      <c r="C10" s="585"/>
      <c r="D10" s="642" t="s">
        <v>214</v>
      </c>
      <c r="E10" s="110">
        <f>SUM(F10:J10)</f>
        <v>24</v>
      </c>
      <c r="F10" s="105">
        <v>14</v>
      </c>
      <c r="G10" s="105">
        <v>10</v>
      </c>
      <c r="H10" s="105">
        <v>0</v>
      </c>
      <c r="I10" s="105">
        <v>0</v>
      </c>
      <c r="J10" s="105">
        <v>0</v>
      </c>
      <c r="K10" s="588"/>
      <c r="L10" s="132">
        <v>100</v>
      </c>
      <c r="M10" s="132">
        <v>100</v>
      </c>
      <c r="N10" s="132">
        <v>0</v>
      </c>
      <c r="O10" s="132">
        <v>0</v>
      </c>
      <c r="P10" s="132">
        <v>0</v>
      </c>
      <c r="Q10" s="107" t="s">
        <v>74</v>
      </c>
    </row>
    <row r="11" spans="1:17" ht="24.6" customHeight="1" x14ac:dyDescent="0.2">
      <c r="A11" s="773"/>
      <c r="B11" s="771"/>
      <c r="C11" s="585"/>
      <c r="D11" s="769"/>
      <c r="E11" s="110">
        <f>SUM(F11:J11)</f>
        <v>42</v>
      </c>
      <c r="F11" s="110">
        <v>0</v>
      </c>
      <c r="G11" s="110">
        <f>10-10</f>
        <v>0</v>
      </c>
      <c r="H11" s="110">
        <v>14</v>
      </c>
      <c r="I11" s="110">
        <v>14</v>
      </c>
      <c r="J11" s="110">
        <v>14</v>
      </c>
      <c r="K11" s="643"/>
      <c r="L11" s="132">
        <v>0</v>
      </c>
      <c r="M11" s="132">
        <v>0</v>
      </c>
      <c r="N11" s="132">
        <v>100</v>
      </c>
      <c r="O11" s="132">
        <v>100</v>
      </c>
      <c r="P11" s="132">
        <v>100</v>
      </c>
      <c r="Q11" s="111" t="s">
        <v>135</v>
      </c>
    </row>
    <row r="12" spans="1:17" ht="19.350000000000001" customHeight="1" x14ac:dyDescent="0.2">
      <c r="A12" s="763"/>
      <c r="B12" s="763" t="s">
        <v>23</v>
      </c>
      <c r="C12" s="763"/>
      <c r="D12" s="127" t="s">
        <v>215</v>
      </c>
      <c r="E12" s="124">
        <f t="shared" ref="E12:J12" si="1">E9</f>
        <v>66</v>
      </c>
      <c r="F12" s="124">
        <f t="shared" si="1"/>
        <v>14</v>
      </c>
      <c r="G12" s="124">
        <f t="shared" si="1"/>
        <v>10</v>
      </c>
      <c r="H12" s="124">
        <f t="shared" si="1"/>
        <v>14</v>
      </c>
      <c r="I12" s="124">
        <f t="shared" si="1"/>
        <v>14</v>
      </c>
      <c r="J12" s="124">
        <f t="shared" si="1"/>
        <v>14</v>
      </c>
      <c r="K12" s="770"/>
      <c r="L12" s="770"/>
      <c r="M12" s="770"/>
      <c r="N12" s="770"/>
      <c r="O12" s="770"/>
      <c r="P12" s="770"/>
      <c r="Q12" s="770"/>
    </row>
    <row r="13" spans="1:17" ht="10.35" customHeight="1" x14ac:dyDescent="0.2">
      <c r="A13" s="764"/>
      <c r="B13" s="764"/>
      <c r="C13" s="764"/>
      <c r="D13" s="126" t="s">
        <v>5</v>
      </c>
      <c r="E13" s="124">
        <f t="shared" ref="E13:J13" si="2">E12</f>
        <v>66</v>
      </c>
      <c r="F13" s="124">
        <f t="shared" si="2"/>
        <v>14</v>
      </c>
      <c r="G13" s="124">
        <f t="shared" si="2"/>
        <v>10</v>
      </c>
      <c r="H13" s="124">
        <f t="shared" si="2"/>
        <v>14</v>
      </c>
      <c r="I13" s="124">
        <f t="shared" si="2"/>
        <v>14</v>
      </c>
      <c r="J13" s="124">
        <f t="shared" si="2"/>
        <v>14</v>
      </c>
      <c r="K13" s="588"/>
      <c r="L13" s="588"/>
      <c r="M13" s="588"/>
      <c r="N13" s="588"/>
      <c r="O13" s="588"/>
      <c r="P13" s="588"/>
      <c r="Q13" s="588"/>
    </row>
    <row r="14" spans="1:17" ht="9.6" customHeight="1" x14ac:dyDescent="0.2">
      <c r="A14" s="764"/>
      <c r="B14" s="764"/>
      <c r="C14" s="764"/>
      <c r="D14" s="126" t="s">
        <v>6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643"/>
      <c r="L14" s="643"/>
      <c r="M14" s="643"/>
      <c r="N14" s="643"/>
      <c r="O14" s="643"/>
      <c r="P14" s="643"/>
      <c r="Q14" s="643"/>
    </row>
    <row r="15" spans="1:17" ht="13.5" customHeight="1" x14ac:dyDescent="0.2">
      <c r="A15" s="21" t="s">
        <v>24</v>
      </c>
      <c r="B15" s="765" t="s">
        <v>76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765"/>
      <c r="N15" s="765"/>
      <c r="O15" s="765"/>
      <c r="P15" s="765"/>
      <c r="Q15" s="765"/>
    </row>
    <row r="16" spans="1:17" ht="24.6" customHeight="1" x14ac:dyDescent="0.2">
      <c r="A16" s="761" t="s">
        <v>26</v>
      </c>
      <c r="B16" s="766" t="s">
        <v>200</v>
      </c>
      <c r="C16" s="642" t="s">
        <v>162</v>
      </c>
      <c r="D16" s="117" t="s">
        <v>215</v>
      </c>
      <c r="E16" s="110">
        <f t="shared" ref="E16:J16" si="3">SUM(E17:E20)</f>
        <v>273</v>
      </c>
      <c r="F16" s="110">
        <f t="shared" si="3"/>
        <v>57</v>
      </c>
      <c r="G16" s="110">
        <f t="shared" si="3"/>
        <v>45</v>
      </c>
      <c r="H16" s="110">
        <f t="shared" si="3"/>
        <v>57</v>
      </c>
      <c r="I16" s="110">
        <f t="shared" si="3"/>
        <v>57</v>
      </c>
      <c r="J16" s="110">
        <f t="shared" si="3"/>
        <v>57</v>
      </c>
      <c r="K16" s="603" t="s">
        <v>230</v>
      </c>
      <c r="L16" s="131"/>
      <c r="M16" s="131"/>
      <c r="N16" s="131"/>
      <c r="O16" s="131"/>
      <c r="P16" s="131"/>
      <c r="Q16" s="117"/>
    </row>
    <row r="17" spans="1:17" ht="6" customHeight="1" x14ac:dyDescent="0.2">
      <c r="A17" s="773"/>
      <c r="B17" s="771"/>
      <c r="C17" s="585"/>
      <c r="D17" s="642" t="s">
        <v>217</v>
      </c>
      <c r="E17" s="611">
        <f>SUM(F17:J18)</f>
        <v>80</v>
      </c>
      <c r="F17" s="611">
        <v>35</v>
      </c>
      <c r="G17" s="611">
        <v>45</v>
      </c>
      <c r="H17" s="611">
        <v>0</v>
      </c>
      <c r="I17" s="611">
        <v>0</v>
      </c>
      <c r="J17" s="611">
        <v>0</v>
      </c>
      <c r="K17" s="588"/>
      <c r="L17" s="757">
        <v>100</v>
      </c>
      <c r="M17" s="757">
        <v>100</v>
      </c>
      <c r="N17" s="757">
        <v>0</v>
      </c>
      <c r="O17" s="757">
        <v>0</v>
      </c>
      <c r="P17" s="757">
        <v>0</v>
      </c>
      <c r="Q17" s="777" t="s">
        <v>74</v>
      </c>
    </row>
    <row r="18" spans="1:17" ht="7.35" customHeight="1" x14ac:dyDescent="0.2">
      <c r="A18" s="773"/>
      <c r="B18" s="771"/>
      <c r="C18" s="585"/>
      <c r="D18" s="677"/>
      <c r="E18" s="637"/>
      <c r="F18" s="637"/>
      <c r="G18" s="637"/>
      <c r="H18" s="637"/>
      <c r="I18" s="637"/>
      <c r="J18" s="637"/>
      <c r="K18" s="588"/>
      <c r="L18" s="758"/>
      <c r="M18" s="758"/>
      <c r="N18" s="758"/>
      <c r="O18" s="758"/>
      <c r="P18" s="758"/>
      <c r="Q18" s="778"/>
    </row>
    <row r="19" spans="1:17" ht="15" customHeight="1" x14ac:dyDescent="0.2">
      <c r="A19" s="773"/>
      <c r="B19" s="771"/>
      <c r="C19" s="585"/>
      <c r="D19" s="677"/>
      <c r="E19" s="106">
        <f>SUM(F19:J19)</f>
        <v>22</v>
      </c>
      <c r="F19" s="106">
        <v>22</v>
      </c>
      <c r="G19" s="106">
        <v>0</v>
      </c>
      <c r="H19" s="106">
        <v>0</v>
      </c>
      <c r="I19" s="106">
        <v>0</v>
      </c>
      <c r="J19" s="106">
        <v>0</v>
      </c>
      <c r="K19" s="588"/>
      <c r="L19" s="133">
        <v>100</v>
      </c>
      <c r="M19" s="133">
        <v>0</v>
      </c>
      <c r="N19" s="133">
        <v>0</v>
      </c>
      <c r="O19" s="133">
        <v>0</v>
      </c>
      <c r="P19" s="133">
        <v>0</v>
      </c>
      <c r="Q19" s="17" t="s">
        <v>51</v>
      </c>
    </row>
    <row r="20" spans="1:17" ht="22.5" customHeight="1" x14ac:dyDescent="0.2">
      <c r="A20" s="775"/>
      <c r="B20" s="776"/>
      <c r="C20" s="666"/>
      <c r="D20" s="769"/>
      <c r="E20" s="31">
        <f>SUM(F20:J20)</f>
        <v>171</v>
      </c>
      <c r="F20" s="31">
        <v>0</v>
      </c>
      <c r="G20" s="31">
        <f>45-45</f>
        <v>0</v>
      </c>
      <c r="H20" s="31">
        <v>57</v>
      </c>
      <c r="I20" s="73">
        <v>57</v>
      </c>
      <c r="J20" s="73">
        <v>57</v>
      </c>
      <c r="K20" s="643"/>
      <c r="L20" s="133">
        <v>0</v>
      </c>
      <c r="M20" s="133">
        <v>0</v>
      </c>
      <c r="N20" s="133">
        <v>100</v>
      </c>
      <c r="O20" s="133">
        <v>100</v>
      </c>
      <c r="P20" s="133">
        <v>100</v>
      </c>
      <c r="Q20" s="17" t="s">
        <v>135</v>
      </c>
    </row>
    <row r="21" spans="1:17" ht="22.5" customHeight="1" x14ac:dyDescent="0.2">
      <c r="A21" s="763"/>
      <c r="B21" s="763" t="s">
        <v>43</v>
      </c>
      <c r="C21" s="763"/>
      <c r="D21" s="127" t="s">
        <v>215</v>
      </c>
      <c r="E21" s="125">
        <f t="shared" ref="E21:J21" si="4">E16</f>
        <v>273</v>
      </c>
      <c r="F21" s="125">
        <f t="shared" si="4"/>
        <v>57</v>
      </c>
      <c r="G21" s="125">
        <f t="shared" si="4"/>
        <v>45</v>
      </c>
      <c r="H21" s="125">
        <f t="shared" si="4"/>
        <v>57</v>
      </c>
      <c r="I21" s="125">
        <f t="shared" si="4"/>
        <v>57</v>
      </c>
      <c r="J21" s="125">
        <f t="shared" si="4"/>
        <v>57</v>
      </c>
      <c r="K21" s="763"/>
      <c r="L21" s="763"/>
      <c r="M21" s="763"/>
      <c r="N21" s="763"/>
      <c r="O21" s="763"/>
      <c r="P21" s="763"/>
      <c r="Q21" s="763"/>
    </row>
    <row r="22" spans="1:17" ht="15.6" customHeight="1" x14ac:dyDescent="0.2">
      <c r="A22" s="764"/>
      <c r="B22" s="764"/>
      <c r="C22" s="764"/>
      <c r="D22" s="126" t="s">
        <v>5</v>
      </c>
      <c r="E22" s="125">
        <f t="shared" ref="E22:J22" si="5">E21</f>
        <v>273</v>
      </c>
      <c r="F22" s="125">
        <f t="shared" si="5"/>
        <v>57</v>
      </c>
      <c r="G22" s="125">
        <f t="shared" si="5"/>
        <v>45</v>
      </c>
      <c r="H22" s="125">
        <f t="shared" si="5"/>
        <v>57</v>
      </c>
      <c r="I22" s="125">
        <f t="shared" si="5"/>
        <v>57</v>
      </c>
      <c r="J22" s="125">
        <f t="shared" si="5"/>
        <v>57</v>
      </c>
      <c r="K22" s="764"/>
      <c r="L22" s="764"/>
      <c r="M22" s="764"/>
      <c r="N22" s="764"/>
      <c r="O22" s="764"/>
      <c r="P22" s="764"/>
      <c r="Q22" s="764"/>
    </row>
    <row r="23" spans="1:17" ht="12.6" customHeight="1" x14ac:dyDescent="0.2">
      <c r="A23" s="764"/>
      <c r="B23" s="764"/>
      <c r="C23" s="764"/>
      <c r="D23" s="126" t="s">
        <v>6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764"/>
      <c r="L23" s="764"/>
      <c r="M23" s="764"/>
      <c r="N23" s="764"/>
      <c r="O23" s="764"/>
      <c r="P23" s="764"/>
      <c r="Q23" s="764"/>
    </row>
    <row r="24" spans="1:17" ht="12" customHeight="1" x14ac:dyDescent="0.2">
      <c r="A24" s="21" t="s">
        <v>28</v>
      </c>
      <c r="B24" s="765" t="s">
        <v>77</v>
      </c>
      <c r="C24" s="765"/>
      <c r="D24" s="765"/>
      <c r="E24" s="765"/>
      <c r="F24" s="765"/>
      <c r="G24" s="765"/>
      <c r="H24" s="765"/>
      <c r="I24" s="765"/>
      <c r="J24" s="765"/>
      <c r="K24" s="765"/>
      <c r="L24" s="765"/>
      <c r="M24" s="765"/>
      <c r="N24" s="765"/>
      <c r="O24" s="765"/>
      <c r="P24" s="765"/>
      <c r="Q24" s="765"/>
    </row>
    <row r="25" spans="1:17" ht="20.100000000000001" customHeight="1" x14ac:dyDescent="0.2">
      <c r="A25" s="761" t="s">
        <v>30</v>
      </c>
      <c r="B25" s="766" t="s">
        <v>199</v>
      </c>
      <c r="C25" s="642" t="s">
        <v>162</v>
      </c>
      <c r="D25" s="117" t="s">
        <v>215</v>
      </c>
      <c r="E25" s="110">
        <f t="shared" ref="E25:J25" si="6">SUM(E26:E30)</f>
        <v>120</v>
      </c>
      <c r="F25" s="110">
        <f t="shared" si="6"/>
        <v>24.5</v>
      </c>
      <c r="G25" s="110">
        <f t="shared" si="6"/>
        <v>22</v>
      </c>
      <c r="H25" s="110">
        <f t="shared" si="6"/>
        <v>24.5</v>
      </c>
      <c r="I25" s="110">
        <f t="shared" si="6"/>
        <v>24.5</v>
      </c>
      <c r="J25" s="110">
        <f t="shared" si="6"/>
        <v>24.5</v>
      </c>
      <c r="K25" s="603" t="s">
        <v>231</v>
      </c>
      <c r="L25" s="131"/>
      <c r="M25" s="131"/>
      <c r="N25" s="131"/>
      <c r="O25" s="131"/>
      <c r="P25" s="131"/>
      <c r="Q25" s="117"/>
    </row>
    <row r="26" spans="1:17" ht="8.4499999999999993" customHeight="1" x14ac:dyDescent="0.2">
      <c r="A26" s="773"/>
      <c r="B26" s="771"/>
      <c r="C26" s="585"/>
      <c r="D26" s="642" t="s">
        <v>218</v>
      </c>
      <c r="E26" s="611">
        <f>SUM(F26:J27)</f>
        <v>32</v>
      </c>
      <c r="F26" s="611">
        <v>10</v>
      </c>
      <c r="G26" s="611">
        <v>22</v>
      </c>
      <c r="H26" s="611">
        <v>0</v>
      </c>
      <c r="I26" s="611">
        <v>0</v>
      </c>
      <c r="J26" s="611">
        <v>0</v>
      </c>
      <c r="K26" s="588"/>
      <c r="L26" s="757">
        <v>100</v>
      </c>
      <c r="M26" s="757">
        <v>100</v>
      </c>
      <c r="N26" s="759">
        <v>0</v>
      </c>
      <c r="O26" s="759">
        <v>0</v>
      </c>
      <c r="P26" s="759">
        <v>0</v>
      </c>
      <c r="Q26" s="777" t="s">
        <v>74</v>
      </c>
    </row>
    <row r="27" spans="1:17" ht="5.45" customHeight="1" x14ac:dyDescent="0.2">
      <c r="A27" s="773"/>
      <c r="B27" s="771"/>
      <c r="C27" s="585"/>
      <c r="D27" s="677"/>
      <c r="E27" s="637"/>
      <c r="F27" s="637"/>
      <c r="G27" s="637"/>
      <c r="H27" s="637"/>
      <c r="I27" s="637"/>
      <c r="J27" s="637"/>
      <c r="K27" s="588"/>
      <c r="L27" s="758"/>
      <c r="M27" s="758"/>
      <c r="N27" s="759"/>
      <c r="O27" s="759"/>
      <c r="P27" s="759"/>
      <c r="Q27" s="778"/>
    </row>
    <row r="28" spans="1:17" ht="13.5" customHeight="1" x14ac:dyDescent="0.2">
      <c r="A28" s="773"/>
      <c r="B28" s="771"/>
      <c r="C28" s="585"/>
      <c r="D28" s="677"/>
      <c r="E28" s="30">
        <f>SUM(F28:J28)</f>
        <v>6</v>
      </c>
      <c r="F28" s="30">
        <v>6</v>
      </c>
      <c r="G28" s="30">
        <v>0</v>
      </c>
      <c r="H28" s="30">
        <v>0</v>
      </c>
      <c r="I28" s="72">
        <v>0</v>
      </c>
      <c r="J28" s="72">
        <v>0</v>
      </c>
      <c r="K28" s="588"/>
      <c r="L28" s="133">
        <v>100</v>
      </c>
      <c r="M28" s="133">
        <v>0</v>
      </c>
      <c r="N28" s="133">
        <v>0</v>
      </c>
      <c r="O28" s="133">
        <v>0</v>
      </c>
      <c r="P28" s="133">
        <v>0</v>
      </c>
      <c r="Q28" s="87" t="s">
        <v>137</v>
      </c>
    </row>
    <row r="29" spans="1:17" ht="13.5" customHeight="1" x14ac:dyDescent="0.2">
      <c r="A29" s="773"/>
      <c r="B29" s="771"/>
      <c r="C29" s="585"/>
      <c r="D29" s="677"/>
      <c r="E29" s="105">
        <f>SUM(F29:J29)</f>
        <v>8.5</v>
      </c>
      <c r="F29" s="105">
        <v>8.5</v>
      </c>
      <c r="G29" s="105">
        <v>0</v>
      </c>
      <c r="H29" s="105">
        <v>0</v>
      </c>
      <c r="I29" s="105">
        <v>0</v>
      </c>
      <c r="J29" s="105">
        <v>0</v>
      </c>
      <c r="K29" s="588"/>
      <c r="L29" s="133">
        <v>100</v>
      </c>
      <c r="M29" s="133">
        <v>0</v>
      </c>
      <c r="N29" s="133">
        <v>0</v>
      </c>
      <c r="O29" s="133">
        <v>0</v>
      </c>
      <c r="P29" s="133">
        <v>0</v>
      </c>
      <c r="Q29" s="108" t="s">
        <v>51</v>
      </c>
    </row>
    <row r="30" spans="1:17" ht="21" customHeight="1" x14ac:dyDescent="0.2">
      <c r="A30" s="775"/>
      <c r="B30" s="776"/>
      <c r="C30" s="666"/>
      <c r="D30" s="769"/>
      <c r="E30" s="72">
        <f>SUM(F30:J30)</f>
        <v>73.5</v>
      </c>
      <c r="F30" s="30">
        <v>0</v>
      </c>
      <c r="G30" s="30">
        <f>22-22</f>
        <v>0</v>
      </c>
      <c r="H30" s="30">
        <v>24.5</v>
      </c>
      <c r="I30" s="72">
        <v>24.5</v>
      </c>
      <c r="J30" s="72">
        <v>24.5</v>
      </c>
      <c r="K30" s="643"/>
      <c r="L30" s="133">
        <v>0</v>
      </c>
      <c r="M30" s="133">
        <v>0</v>
      </c>
      <c r="N30" s="133">
        <v>100</v>
      </c>
      <c r="O30" s="133">
        <v>100</v>
      </c>
      <c r="P30" s="133">
        <v>100</v>
      </c>
      <c r="Q30" s="17" t="s">
        <v>135</v>
      </c>
    </row>
    <row r="31" spans="1:17" ht="21" customHeight="1" x14ac:dyDescent="0.2">
      <c r="A31" s="763"/>
      <c r="B31" s="763" t="s">
        <v>33</v>
      </c>
      <c r="C31" s="763"/>
      <c r="D31" s="127" t="s">
        <v>215</v>
      </c>
      <c r="E31" s="124">
        <f t="shared" ref="E31:J31" si="7">E25</f>
        <v>120</v>
      </c>
      <c r="F31" s="124">
        <f t="shared" si="7"/>
        <v>24.5</v>
      </c>
      <c r="G31" s="124">
        <f t="shared" si="7"/>
        <v>22</v>
      </c>
      <c r="H31" s="124">
        <f t="shared" si="7"/>
        <v>24.5</v>
      </c>
      <c r="I31" s="124">
        <f t="shared" si="7"/>
        <v>24.5</v>
      </c>
      <c r="J31" s="124">
        <f t="shared" si="7"/>
        <v>24.5</v>
      </c>
      <c r="K31" s="763"/>
      <c r="L31" s="763"/>
      <c r="M31" s="763"/>
      <c r="N31" s="763"/>
      <c r="O31" s="763"/>
      <c r="P31" s="763"/>
      <c r="Q31" s="763"/>
    </row>
    <row r="32" spans="1:17" ht="11.1" customHeight="1" x14ac:dyDescent="0.2">
      <c r="A32" s="764"/>
      <c r="B32" s="764"/>
      <c r="C32" s="764"/>
      <c r="D32" s="126" t="s">
        <v>5</v>
      </c>
      <c r="E32" s="124">
        <f t="shared" ref="E32:J32" si="8">E31</f>
        <v>120</v>
      </c>
      <c r="F32" s="124">
        <f t="shared" si="8"/>
        <v>24.5</v>
      </c>
      <c r="G32" s="124">
        <f t="shared" si="8"/>
        <v>22</v>
      </c>
      <c r="H32" s="124">
        <f t="shared" si="8"/>
        <v>24.5</v>
      </c>
      <c r="I32" s="124">
        <f t="shared" si="8"/>
        <v>24.5</v>
      </c>
      <c r="J32" s="124">
        <f t="shared" si="8"/>
        <v>24.5</v>
      </c>
      <c r="K32" s="764"/>
      <c r="L32" s="764"/>
      <c r="M32" s="764"/>
      <c r="N32" s="764"/>
      <c r="O32" s="764"/>
      <c r="P32" s="764"/>
      <c r="Q32" s="764"/>
    </row>
    <row r="33" spans="1:17" ht="14.1" customHeight="1" x14ac:dyDescent="0.2">
      <c r="A33" s="764"/>
      <c r="B33" s="764"/>
      <c r="C33" s="764"/>
      <c r="D33" s="126" t="s">
        <v>6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764"/>
      <c r="L33" s="764"/>
      <c r="M33" s="764"/>
      <c r="N33" s="764"/>
      <c r="O33" s="764"/>
      <c r="P33" s="764"/>
      <c r="Q33" s="764"/>
    </row>
    <row r="34" spans="1:17" ht="12.75" customHeight="1" x14ac:dyDescent="0.2">
      <c r="A34" s="21" t="s">
        <v>34</v>
      </c>
      <c r="B34" s="765" t="s">
        <v>78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</row>
    <row r="35" spans="1:17" ht="23.45" customHeight="1" x14ac:dyDescent="0.2">
      <c r="A35" s="116"/>
      <c r="B35" s="117"/>
      <c r="C35" s="117"/>
      <c r="D35" s="117" t="s">
        <v>215</v>
      </c>
      <c r="E35" s="110">
        <f t="shared" ref="E35:J35" si="9">SUM(E36:E39)</f>
        <v>261</v>
      </c>
      <c r="F35" s="110">
        <f t="shared" si="9"/>
        <v>54.5</v>
      </c>
      <c r="G35" s="110">
        <f t="shared" si="9"/>
        <v>43</v>
      </c>
      <c r="H35" s="110">
        <f t="shared" si="9"/>
        <v>54.5</v>
      </c>
      <c r="I35" s="110">
        <f t="shared" si="9"/>
        <v>54.5</v>
      </c>
      <c r="J35" s="110">
        <f t="shared" si="9"/>
        <v>54.5</v>
      </c>
      <c r="K35" s="603" t="s">
        <v>230</v>
      </c>
      <c r="L35" s="131"/>
      <c r="M35" s="131"/>
      <c r="N35" s="131"/>
      <c r="O35" s="131"/>
      <c r="P35" s="131"/>
      <c r="Q35" s="113"/>
    </row>
    <row r="36" spans="1:17" ht="13.5" customHeight="1" x14ac:dyDescent="0.2">
      <c r="A36" s="761" t="s">
        <v>36</v>
      </c>
      <c r="B36" s="766" t="s">
        <v>201</v>
      </c>
      <c r="C36" s="603" t="s">
        <v>162</v>
      </c>
      <c r="D36" s="642" t="s">
        <v>214</v>
      </c>
      <c r="E36" s="112">
        <f>SUM(F36:J36)</f>
        <v>11</v>
      </c>
      <c r="F36" s="112">
        <v>11</v>
      </c>
      <c r="G36" s="112">
        <v>0</v>
      </c>
      <c r="H36" s="112">
        <v>0</v>
      </c>
      <c r="I36" s="112">
        <v>0</v>
      </c>
      <c r="J36" s="112">
        <v>0</v>
      </c>
      <c r="K36" s="588"/>
      <c r="L36" s="133">
        <v>100</v>
      </c>
      <c r="M36" s="133">
        <v>0</v>
      </c>
      <c r="N36" s="133">
        <v>0</v>
      </c>
      <c r="O36" s="133">
        <v>0</v>
      </c>
      <c r="P36" s="133">
        <v>0</v>
      </c>
      <c r="Q36" s="101" t="s">
        <v>51</v>
      </c>
    </row>
    <row r="37" spans="1:17" ht="11.25" customHeight="1" x14ac:dyDescent="0.2">
      <c r="A37" s="762"/>
      <c r="B37" s="767"/>
      <c r="C37" s="625"/>
      <c r="D37" s="677"/>
      <c r="E37" s="112">
        <f>SUM(F37:J37)</f>
        <v>86.5</v>
      </c>
      <c r="F37" s="112">
        <v>43.5</v>
      </c>
      <c r="G37" s="112">
        <v>43</v>
      </c>
      <c r="H37" s="112">
        <v>0</v>
      </c>
      <c r="I37" s="112">
        <v>0</v>
      </c>
      <c r="J37" s="112">
        <v>0</v>
      </c>
      <c r="K37" s="588"/>
      <c r="L37" s="133">
        <v>100</v>
      </c>
      <c r="M37" s="133">
        <v>100</v>
      </c>
      <c r="N37" s="133">
        <v>0</v>
      </c>
      <c r="O37" s="133">
        <v>0</v>
      </c>
      <c r="P37" s="133">
        <v>0</v>
      </c>
      <c r="Q37" s="101" t="s">
        <v>74</v>
      </c>
    </row>
    <row r="38" spans="1:17" ht="8.25" customHeight="1" x14ac:dyDescent="0.2">
      <c r="A38" s="762"/>
      <c r="B38" s="768"/>
      <c r="C38" s="625"/>
      <c r="D38" s="677"/>
      <c r="E38" s="760">
        <f>SUM(F38:J39)</f>
        <v>163.5</v>
      </c>
      <c r="F38" s="760">
        <v>0</v>
      </c>
      <c r="G38" s="760">
        <f>43-43</f>
        <v>0</v>
      </c>
      <c r="H38" s="760">
        <v>54.5</v>
      </c>
      <c r="I38" s="760">
        <v>54.5</v>
      </c>
      <c r="J38" s="760">
        <v>54.5</v>
      </c>
      <c r="K38" s="588"/>
      <c r="L38" s="757">
        <v>0</v>
      </c>
      <c r="M38" s="757">
        <v>0</v>
      </c>
      <c r="N38" s="757">
        <v>100</v>
      </c>
      <c r="O38" s="757">
        <v>100</v>
      </c>
      <c r="P38" s="757">
        <v>100</v>
      </c>
      <c r="Q38" s="777" t="s">
        <v>135</v>
      </c>
    </row>
    <row r="39" spans="1:17" ht="13.35" customHeight="1" thickBot="1" x14ac:dyDescent="0.25">
      <c r="A39" s="762"/>
      <c r="B39" s="768"/>
      <c r="C39" s="625"/>
      <c r="D39" s="774"/>
      <c r="E39" s="760"/>
      <c r="F39" s="760"/>
      <c r="G39" s="760"/>
      <c r="H39" s="760"/>
      <c r="I39" s="760"/>
      <c r="J39" s="760"/>
      <c r="K39" s="643"/>
      <c r="L39" s="758"/>
      <c r="M39" s="758"/>
      <c r="N39" s="758"/>
      <c r="O39" s="758"/>
      <c r="P39" s="758"/>
      <c r="Q39" s="778"/>
    </row>
    <row r="40" spans="1:17" ht="20.45" customHeight="1" x14ac:dyDescent="0.2">
      <c r="A40" s="763"/>
      <c r="B40" s="763" t="s">
        <v>48</v>
      </c>
      <c r="C40" s="763"/>
      <c r="D40" s="127" t="s">
        <v>215</v>
      </c>
      <c r="E40" s="128">
        <f t="shared" ref="E40:J40" si="10">E35</f>
        <v>261</v>
      </c>
      <c r="F40" s="128">
        <f t="shared" si="10"/>
        <v>54.5</v>
      </c>
      <c r="G40" s="128">
        <f t="shared" si="10"/>
        <v>43</v>
      </c>
      <c r="H40" s="128">
        <f t="shared" si="10"/>
        <v>54.5</v>
      </c>
      <c r="I40" s="128">
        <f t="shared" si="10"/>
        <v>54.5</v>
      </c>
      <c r="J40" s="128">
        <f t="shared" si="10"/>
        <v>54.5</v>
      </c>
      <c r="K40" s="763"/>
      <c r="L40" s="763"/>
      <c r="M40" s="763"/>
      <c r="N40" s="763"/>
      <c r="O40" s="763"/>
      <c r="P40" s="763"/>
      <c r="Q40" s="763"/>
    </row>
    <row r="41" spans="1:17" ht="15" customHeight="1" x14ac:dyDescent="0.2">
      <c r="A41" s="764"/>
      <c r="B41" s="764"/>
      <c r="C41" s="764"/>
      <c r="D41" s="126" t="s">
        <v>5</v>
      </c>
      <c r="E41" s="128">
        <f t="shared" ref="E41:J41" si="11">E40</f>
        <v>261</v>
      </c>
      <c r="F41" s="128">
        <f t="shared" si="11"/>
        <v>54.5</v>
      </c>
      <c r="G41" s="128">
        <f t="shared" si="11"/>
        <v>43</v>
      </c>
      <c r="H41" s="128">
        <f t="shared" si="11"/>
        <v>54.5</v>
      </c>
      <c r="I41" s="128">
        <f t="shared" si="11"/>
        <v>54.5</v>
      </c>
      <c r="J41" s="128">
        <f t="shared" si="11"/>
        <v>54.5</v>
      </c>
      <c r="K41" s="764"/>
      <c r="L41" s="764"/>
      <c r="M41" s="764"/>
      <c r="N41" s="764"/>
      <c r="O41" s="764"/>
      <c r="P41" s="764"/>
      <c r="Q41" s="764"/>
    </row>
    <row r="42" spans="1:17" ht="15" customHeight="1" thickBot="1" x14ac:dyDescent="0.25">
      <c r="A42" s="764"/>
      <c r="B42" s="764"/>
      <c r="C42" s="764"/>
      <c r="D42" s="126" t="s">
        <v>6</v>
      </c>
      <c r="E42" s="128">
        <v>0</v>
      </c>
      <c r="F42" s="128">
        <v>0</v>
      </c>
      <c r="G42" s="128">
        <v>0</v>
      </c>
      <c r="H42" s="128">
        <v>0</v>
      </c>
      <c r="I42" s="128">
        <v>0</v>
      </c>
      <c r="J42" s="128">
        <v>0</v>
      </c>
      <c r="K42" s="764"/>
      <c r="L42" s="764"/>
      <c r="M42" s="764"/>
      <c r="N42" s="764"/>
      <c r="O42" s="764"/>
      <c r="P42" s="764"/>
      <c r="Q42" s="764"/>
    </row>
    <row r="43" spans="1:17" ht="24.6" customHeight="1" x14ac:dyDescent="0.2">
      <c r="A43" s="612"/>
      <c r="B43" s="581" t="s">
        <v>13</v>
      </c>
      <c r="C43" s="612"/>
      <c r="D43" s="118" t="s">
        <v>219</v>
      </c>
      <c r="E43" s="129">
        <f t="shared" ref="E43:J43" si="12">E9+E16+E25+E35</f>
        <v>720</v>
      </c>
      <c r="F43" s="129">
        <f t="shared" si="12"/>
        <v>150</v>
      </c>
      <c r="G43" s="129">
        <f t="shared" si="12"/>
        <v>120</v>
      </c>
      <c r="H43" s="129">
        <f t="shared" si="12"/>
        <v>150</v>
      </c>
      <c r="I43" s="129">
        <f t="shared" si="12"/>
        <v>150</v>
      </c>
      <c r="J43" s="129">
        <f t="shared" si="12"/>
        <v>150</v>
      </c>
      <c r="K43" s="612"/>
      <c r="L43" s="612"/>
      <c r="M43" s="612"/>
      <c r="N43" s="612"/>
      <c r="O43" s="612"/>
      <c r="P43" s="612"/>
      <c r="Q43" s="612"/>
    </row>
    <row r="44" spans="1:17" ht="11.45" customHeight="1" x14ac:dyDescent="0.2">
      <c r="A44" s="772"/>
      <c r="B44" s="772"/>
      <c r="C44" s="772"/>
      <c r="D44" s="130" t="s">
        <v>5</v>
      </c>
      <c r="E44" s="122">
        <f t="shared" ref="E44:J44" si="13">E43</f>
        <v>720</v>
      </c>
      <c r="F44" s="122">
        <f t="shared" si="13"/>
        <v>150</v>
      </c>
      <c r="G44" s="122">
        <f t="shared" si="13"/>
        <v>120</v>
      </c>
      <c r="H44" s="122">
        <f t="shared" si="13"/>
        <v>150</v>
      </c>
      <c r="I44" s="122">
        <f t="shared" si="13"/>
        <v>150</v>
      </c>
      <c r="J44" s="122">
        <f t="shared" si="13"/>
        <v>150</v>
      </c>
      <c r="K44" s="772"/>
      <c r="L44" s="772"/>
      <c r="M44" s="772"/>
      <c r="N44" s="772"/>
      <c r="O44" s="772"/>
      <c r="P44" s="772"/>
      <c r="Q44" s="772"/>
    </row>
    <row r="45" spans="1:17" ht="11.45" customHeight="1" x14ac:dyDescent="0.2">
      <c r="A45" s="772"/>
      <c r="B45" s="772"/>
      <c r="C45" s="772"/>
      <c r="D45" s="130" t="s">
        <v>6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772"/>
      <c r="L45" s="772"/>
      <c r="M45" s="772"/>
      <c r="N45" s="772"/>
      <c r="O45" s="772"/>
      <c r="P45" s="772"/>
      <c r="Q45" s="772"/>
    </row>
  </sheetData>
  <mergeCells count="120">
    <mergeCell ref="H1:Q1"/>
    <mergeCell ref="G17:G18"/>
    <mergeCell ref="D26:D30"/>
    <mergeCell ref="G26:G27"/>
    <mergeCell ref="A2:Q2"/>
    <mergeCell ref="J26:J27"/>
    <mergeCell ref="D4:D5"/>
    <mergeCell ref="A4:A5"/>
    <mergeCell ref="M17:M18"/>
    <mergeCell ref="M12:M14"/>
    <mergeCell ref="N12:N14"/>
    <mergeCell ref="A16:A20"/>
    <mergeCell ref="B15:Q15"/>
    <mergeCell ref="I17:I18"/>
    <mergeCell ref="J17:J18"/>
    <mergeCell ref="B12:B14"/>
    <mergeCell ref="C12:C14"/>
    <mergeCell ref="K12:K14"/>
    <mergeCell ref="Q12:Q14"/>
    <mergeCell ref="N17:N18"/>
    <mergeCell ref="K9:K11"/>
    <mergeCell ref="B16:B20"/>
    <mergeCell ref="O12:O14"/>
    <mergeCell ref="L12:L14"/>
    <mergeCell ref="C4:C5"/>
    <mergeCell ref="B7:Q7"/>
    <mergeCell ref="E4:J4"/>
    <mergeCell ref="K4:P4"/>
    <mergeCell ref="F38:F39"/>
    <mergeCell ref="B43:B45"/>
    <mergeCell ref="Q38:Q39"/>
    <mergeCell ref="H26:H27"/>
    <mergeCell ref="Q4:Q5"/>
    <mergeCell ref="B4:B5"/>
    <mergeCell ref="P43:P45"/>
    <mergeCell ref="Q43:Q45"/>
    <mergeCell ref="J38:J39"/>
    <mergeCell ref="K43:K45"/>
    <mergeCell ref="L43:L45"/>
    <mergeCell ref="P40:P42"/>
    <mergeCell ref="P38:P39"/>
    <mergeCell ref="N38:N39"/>
    <mergeCell ref="O38:O39"/>
    <mergeCell ref="Q40:Q42"/>
    <mergeCell ref="M43:M45"/>
    <mergeCell ref="N43:N45"/>
    <mergeCell ref="O43:O45"/>
    <mergeCell ref="K16:K20"/>
    <mergeCell ref="A43:A45"/>
    <mergeCell ref="C43:C45"/>
    <mergeCell ref="D17:D20"/>
    <mergeCell ref="A9:A11"/>
    <mergeCell ref="D36:D39"/>
    <mergeCell ref="A25:A30"/>
    <mergeCell ref="B25:B30"/>
    <mergeCell ref="E26:E27"/>
    <mergeCell ref="H17:H18"/>
    <mergeCell ref="B34:Q34"/>
    <mergeCell ref="B24:Q24"/>
    <mergeCell ref="Q17:Q18"/>
    <mergeCell ref="Q26:Q27"/>
    <mergeCell ref="C16:C20"/>
    <mergeCell ref="B21:B23"/>
    <mergeCell ref="C21:C23"/>
    <mergeCell ref="A12:A14"/>
    <mergeCell ref="L17:L18"/>
    <mergeCell ref="A21:A23"/>
    <mergeCell ref="A31:A33"/>
    <mergeCell ref="M21:M23"/>
    <mergeCell ref="N21:N23"/>
    <mergeCell ref="O21:O23"/>
    <mergeCell ref="P21:P23"/>
    <mergeCell ref="B8:Q8"/>
    <mergeCell ref="F26:F27"/>
    <mergeCell ref="F17:F18"/>
    <mergeCell ref="H38:H39"/>
    <mergeCell ref="E17:E18"/>
    <mergeCell ref="B36:B39"/>
    <mergeCell ref="D10:D11"/>
    <mergeCell ref="K25:K30"/>
    <mergeCell ref="K35:K39"/>
    <mergeCell ref="P12:P14"/>
    <mergeCell ref="B9:B11"/>
    <mergeCell ref="C9:C11"/>
    <mergeCell ref="C25:C30"/>
    <mergeCell ref="I26:I27"/>
    <mergeCell ref="Q21:Q23"/>
    <mergeCell ref="B31:B33"/>
    <mergeCell ref="C31:C33"/>
    <mergeCell ref="K31:K33"/>
    <mergeCell ref="L31:L33"/>
    <mergeCell ref="M31:M33"/>
    <mergeCell ref="O31:O33"/>
    <mergeCell ref="P31:P33"/>
    <mergeCell ref="K21:K23"/>
    <mergeCell ref="L21:L23"/>
    <mergeCell ref="A36:A39"/>
    <mergeCell ref="Q31:Q33"/>
    <mergeCell ref="B40:B42"/>
    <mergeCell ref="C40:C42"/>
    <mergeCell ref="C36:C39"/>
    <mergeCell ref="E38:E39"/>
    <mergeCell ref="L38:L39"/>
    <mergeCell ref="M38:M39"/>
    <mergeCell ref="A40:A42"/>
    <mergeCell ref="K40:K42"/>
    <mergeCell ref="L40:L42"/>
    <mergeCell ref="M40:M42"/>
    <mergeCell ref="N40:N42"/>
    <mergeCell ref="O40:O42"/>
    <mergeCell ref="N31:N33"/>
    <mergeCell ref="O17:O18"/>
    <mergeCell ref="P17:P18"/>
    <mergeCell ref="L26:L27"/>
    <mergeCell ref="M26:M27"/>
    <mergeCell ref="N26:N27"/>
    <mergeCell ref="O26:O27"/>
    <mergeCell ref="P26:P27"/>
    <mergeCell ref="G38:G39"/>
    <mergeCell ref="I38:I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03"/>
  <sheetViews>
    <sheetView zoomScaleSheetLayoutView="100" workbookViewId="0">
      <pane ySplit="5" topLeftCell="A46" activePane="bottomLeft" state="frozen"/>
      <selection pane="bottomLeft" activeCell="F56" sqref="F56"/>
    </sheetView>
  </sheetViews>
  <sheetFormatPr defaultColWidth="19.5703125" defaultRowHeight="18.75" customHeight="1" x14ac:dyDescent="0.2"/>
  <cols>
    <col min="1" max="1" width="5.42578125" style="282" customWidth="1"/>
    <col min="2" max="2" width="28.85546875" style="218" customWidth="1"/>
    <col min="3" max="3" width="5.5703125" style="218" customWidth="1"/>
    <col min="4" max="4" width="8" style="283" customWidth="1"/>
    <col min="5" max="5" width="8" style="218" customWidth="1"/>
    <col min="6" max="7" width="7.42578125" style="218" customWidth="1"/>
    <col min="8" max="10" width="7.85546875" style="218" customWidth="1"/>
    <col min="11" max="11" width="20.5703125" style="218" customWidth="1"/>
    <col min="12" max="12" width="5.42578125" style="218" customWidth="1"/>
    <col min="13" max="13" width="4.85546875" style="218" customWidth="1"/>
    <col min="14" max="14" width="4.5703125" style="218" customWidth="1"/>
    <col min="15" max="15" width="5.140625" style="218" customWidth="1"/>
    <col min="16" max="16" width="5" style="218" customWidth="1"/>
    <col min="17" max="17" width="18.42578125" style="284" customWidth="1"/>
    <col min="18" max="16384" width="19.5703125" style="218"/>
  </cols>
  <sheetData>
    <row r="1" spans="1:17" ht="57" customHeight="1" x14ac:dyDescent="0.2">
      <c r="A1" s="215"/>
      <c r="B1" s="216"/>
      <c r="C1" s="216"/>
      <c r="D1" s="217"/>
      <c r="E1" s="216"/>
      <c r="F1" s="216"/>
      <c r="G1" s="216"/>
      <c r="H1" s="816" t="s">
        <v>300</v>
      </c>
      <c r="I1" s="816"/>
      <c r="J1" s="816"/>
      <c r="K1" s="816"/>
      <c r="L1" s="816"/>
      <c r="M1" s="816"/>
      <c r="N1" s="816"/>
      <c r="O1" s="816"/>
      <c r="P1" s="816"/>
      <c r="Q1" s="816"/>
    </row>
    <row r="2" spans="1:17" ht="27" customHeight="1" x14ac:dyDescent="0.2">
      <c r="A2" s="756" t="s">
        <v>159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</row>
    <row r="3" spans="1:17" ht="10.5" customHeight="1" x14ac:dyDescent="0.2">
      <c r="A3" s="215"/>
      <c r="B3" s="216"/>
      <c r="C3" s="216"/>
      <c r="D3" s="217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9" t="s">
        <v>7</v>
      </c>
    </row>
    <row r="4" spans="1:17" ht="42.75" customHeight="1" x14ac:dyDescent="0.2">
      <c r="A4" s="534" t="s">
        <v>16</v>
      </c>
      <c r="B4" s="508" t="s">
        <v>15</v>
      </c>
      <c r="C4" s="534" t="s">
        <v>8</v>
      </c>
      <c r="D4" s="534" t="s">
        <v>9</v>
      </c>
      <c r="E4" s="546" t="s">
        <v>0</v>
      </c>
      <c r="F4" s="547"/>
      <c r="G4" s="547"/>
      <c r="H4" s="547"/>
      <c r="I4" s="547"/>
      <c r="J4" s="548"/>
      <c r="K4" s="546" t="s">
        <v>17</v>
      </c>
      <c r="L4" s="547"/>
      <c r="M4" s="547"/>
      <c r="N4" s="547"/>
      <c r="O4" s="547"/>
      <c r="P4" s="548"/>
      <c r="Q4" s="508" t="s">
        <v>14</v>
      </c>
    </row>
    <row r="5" spans="1:17" ht="12" customHeight="1" x14ac:dyDescent="0.2">
      <c r="A5" s="534"/>
      <c r="B5" s="509"/>
      <c r="C5" s="534"/>
      <c r="D5" s="534"/>
      <c r="E5" s="220" t="s">
        <v>1</v>
      </c>
      <c r="F5" s="220" t="s">
        <v>2</v>
      </c>
      <c r="G5" s="220" t="s">
        <v>3</v>
      </c>
      <c r="H5" s="220" t="s">
        <v>57</v>
      </c>
      <c r="I5" s="220" t="s">
        <v>155</v>
      </c>
      <c r="J5" s="220" t="s">
        <v>156</v>
      </c>
      <c r="K5" s="220" t="s">
        <v>4</v>
      </c>
      <c r="L5" s="220">
        <v>2014</v>
      </c>
      <c r="M5" s="220">
        <v>2015</v>
      </c>
      <c r="N5" s="220">
        <v>2016</v>
      </c>
      <c r="O5" s="220">
        <v>2017</v>
      </c>
      <c r="P5" s="220">
        <v>2018</v>
      </c>
      <c r="Q5" s="509"/>
    </row>
    <row r="6" spans="1:17" ht="11.25" customHeight="1" x14ac:dyDescent="0.2">
      <c r="A6" s="221">
        <v>1</v>
      </c>
      <c r="B6" s="221">
        <v>2</v>
      </c>
      <c r="C6" s="221">
        <v>3</v>
      </c>
      <c r="D6" s="221">
        <v>4</v>
      </c>
      <c r="E6" s="221">
        <v>5</v>
      </c>
      <c r="F6" s="221">
        <v>6</v>
      </c>
      <c r="G6" s="221">
        <v>7</v>
      </c>
      <c r="H6" s="221">
        <v>8</v>
      </c>
      <c r="I6" s="221">
        <v>9</v>
      </c>
      <c r="J6" s="221">
        <v>10</v>
      </c>
      <c r="K6" s="221">
        <v>11</v>
      </c>
      <c r="L6" s="221">
        <v>12</v>
      </c>
      <c r="M6" s="221">
        <v>13</v>
      </c>
      <c r="N6" s="221">
        <v>14</v>
      </c>
      <c r="O6" s="221">
        <v>15</v>
      </c>
      <c r="P6" s="221">
        <v>16</v>
      </c>
      <c r="Q6" s="221">
        <v>17</v>
      </c>
    </row>
    <row r="7" spans="1:17" ht="12.75" customHeight="1" x14ac:dyDescent="0.2">
      <c r="A7" s="222"/>
      <c r="B7" s="549" t="s">
        <v>20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</row>
    <row r="8" spans="1:17" ht="21" customHeight="1" x14ac:dyDescent="0.2">
      <c r="A8" s="223">
        <v>1</v>
      </c>
      <c r="B8" s="538" t="s">
        <v>21</v>
      </c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</row>
    <row r="9" spans="1:17" ht="21" customHeight="1" x14ac:dyDescent="0.2">
      <c r="A9" s="543" t="s">
        <v>19</v>
      </c>
      <c r="B9" s="796" t="s">
        <v>125</v>
      </c>
      <c r="C9" s="779" t="s">
        <v>161</v>
      </c>
      <c r="D9" s="224" t="s">
        <v>215</v>
      </c>
      <c r="E9" s="225">
        <f t="shared" ref="E9:J9" si="0">E10</f>
        <v>1357.9</v>
      </c>
      <c r="F9" s="225">
        <f t="shared" si="0"/>
        <v>248.6</v>
      </c>
      <c r="G9" s="225">
        <f t="shared" si="0"/>
        <v>248.6</v>
      </c>
      <c r="H9" s="225">
        <f t="shared" si="0"/>
        <v>278.3</v>
      </c>
      <c r="I9" s="225">
        <f t="shared" si="0"/>
        <v>291.2</v>
      </c>
      <c r="J9" s="225">
        <f t="shared" si="0"/>
        <v>291.2</v>
      </c>
      <c r="K9" s="226"/>
      <c r="L9" s="226"/>
      <c r="M9" s="226"/>
      <c r="N9" s="226"/>
      <c r="O9" s="226"/>
      <c r="P9" s="226"/>
      <c r="Q9" s="226"/>
    </row>
    <row r="10" spans="1:17" s="229" customFormat="1" ht="33.6" customHeight="1" x14ac:dyDescent="0.25">
      <c r="A10" s="814"/>
      <c r="B10" s="815"/>
      <c r="C10" s="815"/>
      <c r="D10" s="502" t="s">
        <v>6</v>
      </c>
      <c r="E10" s="485">
        <f>SUM(F10:J11)</f>
        <v>1357.9</v>
      </c>
      <c r="F10" s="485">
        <v>248.6</v>
      </c>
      <c r="G10" s="485">
        <v>248.6</v>
      </c>
      <c r="H10" s="485">
        <f>248.6+29.7</f>
        <v>278.3</v>
      </c>
      <c r="I10" s="485">
        <f>248.6+42.6</f>
        <v>291.2</v>
      </c>
      <c r="J10" s="485">
        <f>248.6+42.6</f>
        <v>291.2</v>
      </c>
      <c r="K10" s="329" t="s">
        <v>232</v>
      </c>
      <c r="L10" s="228">
        <v>45</v>
      </c>
      <c r="M10" s="228">
        <v>45</v>
      </c>
      <c r="N10" s="228">
        <v>45</v>
      </c>
      <c r="O10" s="228">
        <v>45</v>
      </c>
      <c r="P10" s="228">
        <v>45</v>
      </c>
      <c r="Q10" s="779" t="s">
        <v>51</v>
      </c>
    </row>
    <row r="11" spans="1:17" s="229" customFormat="1" ht="35.25" customHeight="1" x14ac:dyDescent="0.25">
      <c r="A11" s="814"/>
      <c r="B11" s="815"/>
      <c r="C11" s="815"/>
      <c r="D11" s="503"/>
      <c r="E11" s="487"/>
      <c r="F11" s="487"/>
      <c r="G11" s="487"/>
      <c r="H11" s="487"/>
      <c r="I11" s="487"/>
      <c r="J11" s="487"/>
      <c r="K11" s="227" t="s">
        <v>233</v>
      </c>
      <c r="L11" s="228">
        <v>20</v>
      </c>
      <c r="M11" s="228">
        <v>20</v>
      </c>
      <c r="N11" s="228">
        <v>20</v>
      </c>
      <c r="O11" s="228">
        <v>20</v>
      </c>
      <c r="P11" s="228">
        <v>20</v>
      </c>
      <c r="Q11" s="779"/>
    </row>
    <row r="12" spans="1:17" s="229" customFormat="1" ht="24" customHeight="1" x14ac:dyDescent="0.25">
      <c r="A12" s="543" t="s">
        <v>22</v>
      </c>
      <c r="B12" s="796" t="s">
        <v>126</v>
      </c>
      <c r="C12" s="779" t="s">
        <v>161</v>
      </c>
      <c r="D12" s="224" t="s">
        <v>215</v>
      </c>
      <c r="E12" s="230">
        <f t="shared" ref="E12:J12" si="1">E13</f>
        <v>455.3</v>
      </c>
      <c r="F12" s="230">
        <f t="shared" si="1"/>
        <v>51.3</v>
      </c>
      <c r="G12" s="230">
        <f t="shared" si="1"/>
        <v>104</v>
      </c>
      <c r="H12" s="230">
        <f t="shared" si="1"/>
        <v>100</v>
      </c>
      <c r="I12" s="230">
        <f t="shared" si="1"/>
        <v>100</v>
      </c>
      <c r="J12" s="230">
        <f t="shared" si="1"/>
        <v>100</v>
      </c>
      <c r="K12" s="227"/>
      <c r="L12" s="231"/>
      <c r="M12" s="231"/>
      <c r="N12" s="231"/>
      <c r="O12" s="231"/>
      <c r="P12" s="231"/>
      <c r="Q12" s="228"/>
    </row>
    <row r="13" spans="1:17" s="229" customFormat="1" ht="15.75" customHeight="1" x14ac:dyDescent="0.25">
      <c r="A13" s="544"/>
      <c r="B13" s="725"/>
      <c r="C13" s="544"/>
      <c r="D13" s="502" t="s">
        <v>5</v>
      </c>
      <c r="E13" s="485">
        <f>SUM(F13:J16)</f>
        <v>455.3</v>
      </c>
      <c r="F13" s="485">
        <v>51.3</v>
      </c>
      <c r="G13" s="485">
        <f>100+4</f>
        <v>104</v>
      </c>
      <c r="H13" s="485">
        <v>100</v>
      </c>
      <c r="I13" s="485">
        <v>100</v>
      </c>
      <c r="J13" s="485">
        <v>100</v>
      </c>
      <c r="K13" s="511" t="s">
        <v>234</v>
      </c>
      <c r="L13" s="475" t="s">
        <v>236</v>
      </c>
      <c r="M13" s="475" t="s">
        <v>236</v>
      </c>
      <c r="N13" s="475" t="s">
        <v>236</v>
      </c>
      <c r="O13" s="475" t="s">
        <v>236</v>
      </c>
      <c r="P13" s="475" t="s">
        <v>236</v>
      </c>
      <c r="Q13" s="480" t="s">
        <v>127</v>
      </c>
    </row>
    <row r="14" spans="1:17" s="229" customFormat="1" ht="6" customHeight="1" x14ac:dyDescent="0.25">
      <c r="A14" s="544"/>
      <c r="B14" s="725"/>
      <c r="C14" s="544"/>
      <c r="D14" s="503"/>
      <c r="E14" s="486"/>
      <c r="F14" s="486"/>
      <c r="G14" s="486"/>
      <c r="H14" s="486"/>
      <c r="I14" s="486"/>
      <c r="J14" s="486"/>
      <c r="K14" s="512"/>
      <c r="L14" s="477"/>
      <c r="M14" s="477"/>
      <c r="N14" s="477"/>
      <c r="O14" s="477"/>
      <c r="P14" s="477"/>
      <c r="Q14" s="481"/>
    </row>
    <row r="15" spans="1:17" s="229" customFormat="1" ht="6.75" customHeight="1" x14ac:dyDescent="0.25">
      <c r="A15" s="544"/>
      <c r="B15" s="725"/>
      <c r="C15" s="544"/>
      <c r="D15" s="503"/>
      <c r="E15" s="486"/>
      <c r="F15" s="486"/>
      <c r="G15" s="486"/>
      <c r="H15" s="486"/>
      <c r="I15" s="486"/>
      <c r="J15" s="486"/>
      <c r="K15" s="511" t="s">
        <v>235</v>
      </c>
      <c r="L15" s="475" t="s">
        <v>236</v>
      </c>
      <c r="M15" s="475" t="s">
        <v>236</v>
      </c>
      <c r="N15" s="475" t="s">
        <v>236</v>
      </c>
      <c r="O15" s="475" t="s">
        <v>236</v>
      </c>
      <c r="P15" s="475" t="s">
        <v>236</v>
      </c>
      <c r="Q15" s="481"/>
    </row>
    <row r="16" spans="1:17" s="229" customFormat="1" ht="18" customHeight="1" thickBot="1" x14ac:dyDescent="0.3">
      <c r="A16" s="544"/>
      <c r="B16" s="725"/>
      <c r="C16" s="544"/>
      <c r="D16" s="503"/>
      <c r="E16" s="486"/>
      <c r="F16" s="486"/>
      <c r="G16" s="486"/>
      <c r="H16" s="486"/>
      <c r="I16" s="486"/>
      <c r="J16" s="486"/>
      <c r="K16" s="512"/>
      <c r="L16" s="477"/>
      <c r="M16" s="477"/>
      <c r="N16" s="477"/>
      <c r="O16" s="477"/>
      <c r="P16" s="477"/>
      <c r="Q16" s="482"/>
    </row>
    <row r="17" spans="1:17" s="233" customFormat="1" ht="12.75" customHeight="1" x14ac:dyDescent="0.2">
      <c r="A17" s="495"/>
      <c r="B17" s="549" t="s">
        <v>23</v>
      </c>
      <c r="C17" s="537"/>
      <c r="D17" s="232" t="s">
        <v>11</v>
      </c>
      <c r="E17" s="800">
        <f>SUM(F17:J18)</f>
        <v>1813.2</v>
      </c>
      <c r="F17" s="800">
        <f>SUM(F19:F20)</f>
        <v>299.89999999999998</v>
      </c>
      <c r="G17" s="800">
        <f>SUM(G19:G20)</f>
        <v>352.6</v>
      </c>
      <c r="H17" s="800">
        <f>SUM(H19:H20)</f>
        <v>378.3</v>
      </c>
      <c r="I17" s="800">
        <f>SUM(I19:I20)</f>
        <v>391.2</v>
      </c>
      <c r="J17" s="798">
        <f>SUM(J19:J20)</f>
        <v>391.2</v>
      </c>
      <c r="K17" s="755"/>
      <c r="L17" s="495"/>
      <c r="M17" s="495"/>
      <c r="N17" s="495"/>
      <c r="O17" s="495"/>
      <c r="P17" s="495"/>
      <c r="Q17" s="779"/>
    </row>
    <row r="18" spans="1:17" s="233" customFormat="1" ht="9.75" customHeight="1" x14ac:dyDescent="0.2">
      <c r="A18" s="495"/>
      <c r="B18" s="549"/>
      <c r="C18" s="537"/>
      <c r="D18" s="234" t="s">
        <v>12</v>
      </c>
      <c r="E18" s="801"/>
      <c r="F18" s="801"/>
      <c r="G18" s="801"/>
      <c r="H18" s="801"/>
      <c r="I18" s="801"/>
      <c r="J18" s="799"/>
      <c r="K18" s="755"/>
      <c r="L18" s="495"/>
      <c r="M18" s="495"/>
      <c r="N18" s="495"/>
      <c r="O18" s="495"/>
      <c r="P18" s="495"/>
      <c r="Q18" s="779"/>
    </row>
    <row r="19" spans="1:17" s="233" customFormat="1" ht="13.5" customHeight="1" x14ac:dyDescent="0.2">
      <c r="A19" s="495"/>
      <c r="B19" s="549"/>
      <c r="C19" s="537"/>
      <c r="D19" s="235" t="s">
        <v>5</v>
      </c>
      <c r="E19" s="236">
        <f>SUM(F19:J19)</f>
        <v>455.3</v>
      </c>
      <c r="F19" s="236">
        <f>SUM(F13)</f>
        <v>51.3</v>
      </c>
      <c r="G19" s="236">
        <f>SUM(G13)</f>
        <v>104</v>
      </c>
      <c r="H19" s="236">
        <f>SUM(H13)</f>
        <v>100</v>
      </c>
      <c r="I19" s="236">
        <f>SUM(I13)</f>
        <v>100</v>
      </c>
      <c r="J19" s="237">
        <f>SUM(J13)</f>
        <v>100</v>
      </c>
      <c r="K19" s="755"/>
      <c r="L19" s="495"/>
      <c r="M19" s="495"/>
      <c r="N19" s="495"/>
      <c r="O19" s="495"/>
      <c r="P19" s="495"/>
      <c r="Q19" s="779"/>
    </row>
    <row r="20" spans="1:17" s="233" customFormat="1" ht="12.75" customHeight="1" thickBot="1" x14ac:dyDescent="0.25">
      <c r="A20" s="495"/>
      <c r="B20" s="549"/>
      <c r="C20" s="537"/>
      <c r="D20" s="238" t="s">
        <v>6</v>
      </c>
      <c r="E20" s="239">
        <f>SUM(F20:J20)</f>
        <v>1357.9</v>
      </c>
      <c r="F20" s="239">
        <f>SUM(F10)</f>
        <v>248.6</v>
      </c>
      <c r="G20" s="239">
        <f>SUM(G10)</f>
        <v>248.6</v>
      </c>
      <c r="H20" s="239">
        <f>SUM(H10)</f>
        <v>278.3</v>
      </c>
      <c r="I20" s="239">
        <f>SUM(I10)</f>
        <v>291.2</v>
      </c>
      <c r="J20" s="240">
        <f>SUM(J10)</f>
        <v>291.2</v>
      </c>
      <c r="K20" s="755"/>
      <c r="L20" s="495"/>
      <c r="M20" s="495"/>
      <c r="N20" s="495"/>
      <c r="O20" s="495"/>
      <c r="P20" s="495"/>
      <c r="Q20" s="779"/>
    </row>
    <row r="21" spans="1:17" s="229" customFormat="1" ht="12" customHeight="1" x14ac:dyDescent="0.25">
      <c r="A21" s="241" t="s">
        <v>24</v>
      </c>
      <c r="B21" s="792" t="s">
        <v>25</v>
      </c>
      <c r="C21" s="793"/>
      <c r="D21" s="794"/>
      <c r="E21" s="794"/>
      <c r="F21" s="794"/>
      <c r="G21" s="794"/>
      <c r="H21" s="794"/>
      <c r="I21" s="794"/>
      <c r="J21" s="794"/>
      <c r="K21" s="793"/>
      <c r="L21" s="793"/>
      <c r="M21" s="793"/>
      <c r="N21" s="793"/>
      <c r="O21" s="793"/>
      <c r="P21" s="793"/>
      <c r="Q21" s="795"/>
    </row>
    <row r="22" spans="1:17" s="229" customFormat="1" ht="24.75" customHeight="1" x14ac:dyDescent="0.25">
      <c r="A22" s="480" t="s">
        <v>26</v>
      </c>
      <c r="B22" s="810" t="s">
        <v>27</v>
      </c>
      <c r="C22" s="779" t="s">
        <v>161</v>
      </c>
      <c r="D22" s="224" t="s">
        <v>215</v>
      </c>
      <c r="E22" s="242">
        <f t="shared" ref="E22:J22" si="2">E23+E25</f>
        <v>100</v>
      </c>
      <c r="F22" s="242">
        <f t="shared" si="2"/>
        <v>20</v>
      </c>
      <c r="G22" s="242">
        <f t="shared" si="2"/>
        <v>20</v>
      </c>
      <c r="H22" s="242">
        <f t="shared" si="2"/>
        <v>20</v>
      </c>
      <c r="I22" s="242">
        <f t="shared" si="2"/>
        <v>20</v>
      </c>
      <c r="J22" s="242">
        <f t="shared" si="2"/>
        <v>20</v>
      </c>
      <c r="K22" s="243" t="s">
        <v>237</v>
      </c>
      <c r="L22" s="228">
        <v>100</v>
      </c>
      <c r="M22" s="228">
        <v>100</v>
      </c>
      <c r="N22" s="228">
        <v>100</v>
      </c>
      <c r="O22" s="228">
        <v>100</v>
      </c>
      <c r="P22" s="228">
        <v>100</v>
      </c>
      <c r="Q22" s="244"/>
    </row>
    <row r="23" spans="1:17" s="229" customFormat="1" ht="24.75" customHeight="1" x14ac:dyDescent="0.25">
      <c r="A23" s="535"/>
      <c r="B23" s="811"/>
      <c r="C23" s="797"/>
      <c r="D23" s="502" t="s">
        <v>5</v>
      </c>
      <c r="E23" s="485">
        <f>SUM(F23:J24)</f>
        <v>50</v>
      </c>
      <c r="F23" s="485">
        <v>10</v>
      </c>
      <c r="G23" s="485">
        <v>10</v>
      </c>
      <c r="H23" s="485">
        <v>10</v>
      </c>
      <c r="I23" s="485">
        <v>10</v>
      </c>
      <c r="J23" s="485">
        <v>10</v>
      </c>
      <c r="K23" s="511" t="s">
        <v>238</v>
      </c>
      <c r="L23" s="475" t="s">
        <v>240</v>
      </c>
      <c r="M23" s="475" t="s">
        <v>240</v>
      </c>
      <c r="N23" s="475" t="s">
        <v>240</v>
      </c>
      <c r="O23" s="475" t="s">
        <v>240</v>
      </c>
      <c r="P23" s="475" t="s">
        <v>240</v>
      </c>
      <c r="Q23" s="779" t="s">
        <v>226</v>
      </c>
    </row>
    <row r="24" spans="1:17" s="229" customFormat="1" ht="5.25" hidden="1" customHeight="1" x14ac:dyDescent="0.25">
      <c r="A24" s="535"/>
      <c r="B24" s="811"/>
      <c r="C24" s="797"/>
      <c r="D24" s="504"/>
      <c r="E24" s="487"/>
      <c r="F24" s="487"/>
      <c r="G24" s="487"/>
      <c r="H24" s="487"/>
      <c r="I24" s="487"/>
      <c r="J24" s="487"/>
      <c r="K24" s="513"/>
      <c r="L24" s="813"/>
      <c r="M24" s="813"/>
      <c r="N24" s="813"/>
      <c r="O24" s="813"/>
      <c r="P24" s="813"/>
      <c r="Q24" s="544"/>
    </row>
    <row r="25" spans="1:17" s="229" customFormat="1" ht="0.75" customHeight="1" x14ac:dyDescent="0.25">
      <c r="A25" s="535"/>
      <c r="B25" s="811"/>
      <c r="C25" s="797"/>
      <c r="D25" s="505" t="s">
        <v>5</v>
      </c>
      <c r="E25" s="485">
        <f>SUM(F25:J26)</f>
        <v>50</v>
      </c>
      <c r="F25" s="494">
        <v>10</v>
      </c>
      <c r="G25" s="494">
        <v>10</v>
      </c>
      <c r="H25" s="485">
        <v>10</v>
      </c>
      <c r="I25" s="485">
        <v>10</v>
      </c>
      <c r="J25" s="485">
        <v>10</v>
      </c>
      <c r="K25" s="514"/>
      <c r="L25" s="802"/>
      <c r="M25" s="802"/>
      <c r="N25" s="802"/>
      <c r="O25" s="802"/>
      <c r="P25" s="802"/>
      <c r="Q25" s="779" t="s">
        <v>225</v>
      </c>
    </row>
    <row r="26" spans="1:17" s="229" customFormat="1" ht="22.5" customHeight="1" thickBot="1" x14ac:dyDescent="0.3">
      <c r="A26" s="536"/>
      <c r="B26" s="812"/>
      <c r="C26" s="797"/>
      <c r="D26" s="502"/>
      <c r="E26" s="486"/>
      <c r="F26" s="485"/>
      <c r="G26" s="485"/>
      <c r="H26" s="486"/>
      <c r="I26" s="486"/>
      <c r="J26" s="486"/>
      <c r="K26" s="243" t="s">
        <v>239</v>
      </c>
      <c r="L26" s="245" t="s">
        <v>236</v>
      </c>
      <c r="M26" s="245" t="s">
        <v>236</v>
      </c>
      <c r="N26" s="245" t="s">
        <v>236</v>
      </c>
      <c r="O26" s="245" t="s">
        <v>236</v>
      </c>
      <c r="P26" s="245" t="s">
        <v>236</v>
      </c>
      <c r="Q26" s="544"/>
    </row>
    <row r="27" spans="1:17" s="233" customFormat="1" ht="23.1" customHeight="1" x14ac:dyDescent="0.2">
      <c r="A27" s="480"/>
      <c r="B27" s="511" t="s">
        <v>43</v>
      </c>
      <c r="C27" s="786"/>
      <c r="D27" s="246" t="s">
        <v>227</v>
      </c>
      <c r="E27" s="214">
        <f t="shared" ref="E27:J27" si="3">SUM(E23:E26)</f>
        <v>100</v>
      </c>
      <c r="F27" s="214">
        <f t="shared" si="3"/>
        <v>20</v>
      </c>
      <c r="G27" s="214">
        <f t="shared" si="3"/>
        <v>20</v>
      </c>
      <c r="H27" s="214">
        <f t="shared" si="3"/>
        <v>20</v>
      </c>
      <c r="I27" s="214">
        <f t="shared" si="3"/>
        <v>20</v>
      </c>
      <c r="J27" s="247">
        <f t="shared" si="3"/>
        <v>20</v>
      </c>
      <c r="K27" s="803"/>
      <c r="L27" s="803"/>
      <c r="M27" s="803"/>
      <c r="N27" s="803"/>
      <c r="O27" s="803"/>
      <c r="P27" s="803"/>
      <c r="Q27" s="803"/>
    </row>
    <row r="28" spans="1:17" s="233" customFormat="1" ht="12" customHeight="1" x14ac:dyDescent="0.2">
      <c r="A28" s="535"/>
      <c r="B28" s="516"/>
      <c r="C28" s="787"/>
      <c r="D28" s="248" t="s">
        <v>5</v>
      </c>
      <c r="E28" s="236">
        <f t="shared" ref="E28:J28" si="4">E22</f>
        <v>100</v>
      </c>
      <c r="F28" s="236">
        <f t="shared" si="4"/>
        <v>20</v>
      </c>
      <c r="G28" s="236">
        <f t="shared" si="4"/>
        <v>20</v>
      </c>
      <c r="H28" s="236">
        <f t="shared" si="4"/>
        <v>20</v>
      </c>
      <c r="I28" s="236">
        <f t="shared" si="4"/>
        <v>20</v>
      </c>
      <c r="J28" s="237">
        <f t="shared" si="4"/>
        <v>20</v>
      </c>
      <c r="K28" s="804"/>
      <c r="L28" s="804"/>
      <c r="M28" s="804"/>
      <c r="N28" s="804"/>
      <c r="O28" s="804"/>
      <c r="P28" s="804"/>
      <c r="Q28" s="804"/>
    </row>
    <row r="29" spans="1:17" s="233" customFormat="1" ht="14.1" customHeight="1" thickBot="1" x14ac:dyDescent="0.25">
      <c r="A29" s="536"/>
      <c r="B29" s="517"/>
      <c r="C29" s="791"/>
      <c r="D29" s="249" t="s">
        <v>6</v>
      </c>
      <c r="E29" s="239">
        <v>0</v>
      </c>
      <c r="F29" s="239">
        <v>0</v>
      </c>
      <c r="G29" s="239">
        <v>0</v>
      </c>
      <c r="H29" s="239">
        <v>0</v>
      </c>
      <c r="I29" s="239">
        <v>0</v>
      </c>
      <c r="J29" s="240">
        <v>0</v>
      </c>
      <c r="K29" s="805"/>
      <c r="L29" s="805"/>
      <c r="M29" s="805"/>
      <c r="N29" s="805"/>
      <c r="O29" s="805"/>
      <c r="P29" s="805"/>
      <c r="Q29" s="805"/>
    </row>
    <row r="30" spans="1:17" s="229" customFormat="1" ht="12" customHeight="1" x14ac:dyDescent="0.25">
      <c r="A30" s="250" t="s">
        <v>28</v>
      </c>
      <c r="B30" s="806" t="s">
        <v>29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807"/>
    </row>
    <row r="31" spans="1:17" s="229" customFormat="1" ht="21" customHeight="1" x14ac:dyDescent="0.25">
      <c r="A31" s="480" t="s">
        <v>30</v>
      </c>
      <c r="B31" s="810" t="s">
        <v>128</v>
      </c>
      <c r="C31" s="779" t="s">
        <v>161</v>
      </c>
      <c r="D31" s="224" t="s">
        <v>215</v>
      </c>
      <c r="E31" s="242">
        <f t="shared" ref="E31:J31" si="5">E32+E33</f>
        <v>0</v>
      </c>
      <c r="F31" s="242">
        <f t="shared" si="5"/>
        <v>0</v>
      </c>
      <c r="G31" s="242">
        <f t="shared" si="5"/>
        <v>0</v>
      </c>
      <c r="H31" s="242">
        <f t="shared" si="5"/>
        <v>0</v>
      </c>
      <c r="I31" s="242">
        <f t="shared" si="5"/>
        <v>0</v>
      </c>
      <c r="J31" s="242">
        <f t="shared" si="5"/>
        <v>0</v>
      </c>
      <c r="K31" s="244"/>
      <c r="L31" s="244"/>
      <c r="M31" s="244"/>
      <c r="N31" s="244"/>
      <c r="O31" s="244"/>
      <c r="P31" s="244"/>
      <c r="Q31" s="244"/>
    </row>
    <row r="32" spans="1:17" s="229" customFormat="1" ht="17.45" customHeight="1" x14ac:dyDescent="0.25">
      <c r="A32" s="808"/>
      <c r="B32" s="811"/>
      <c r="C32" s="797"/>
      <c r="D32" s="251" t="s">
        <v>5</v>
      </c>
      <c r="E32" s="212">
        <f>SUM(F32:J32)</f>
        <v>0</v>
      </c>
      <c r="F32" s="212">
        <v>0</v>
      </c>
      <c r="G32" s="212">
        <v>0</v>
      </c>
      <c r="H32" s="212">
        <v>0</v>
      </c>
      <c r="I32" s="212">
        <v>0</v>
      </c>
      <c r="J32" s="212">
        <v>0</v>
      </c>
      <c r="K32" s="243" t="s">
        <v>241</v>
      </c>
      <c r="L32" s="252" t="s">
        <v>242</v>
      </c>
      <c r="M32" s="252" t="s">
        <v>242</v>
      </c>
      <c r="N32" s="252" t="s">
        <v>242</v>
      </c>
      <c r="O32" s="252" t="s">
        <v>242</v>
      </c>
      <c r="P32" s="252" t="s">
        <v>242</v>
      </c>
      <c r="Q32" s="480" t="s">
        <v>135</v>
      </c>
    </row>
    <row r="33" spans="1:17" s="229" customFormat="1" ht="33.75" customHeight="1" x14ac:dyDescent="0.25">
      <c r="A33" s="809"/>
      <c r="B33" s="812"/>
      <c r="C33" s="797"/>
      <c r="D33" s="253" t="s">
        <v>6</v>
      </c>
      <c r="E33" s="212">
        <f>SUM(F33:J33)</f>
        <v>0</v>
      </c>
      <c r="F33" s="254">
        <v>0</v>
      </c>
      <c r="G33" s="254">
        <v>0</v>
      </c>
      <c r="H33" s="254">
        <v>0</v>
      </c>
      <c r="I33" s="254">
        <v>0</v>
      </c>
      <c r="J33" s="254">
        <v>0</v>
      </c>
      <c r="K33" s="243" t="s">
        <v>245</v>
      </c>
      <c r="L33" s="252" t="s">
        <v>236</v>
      </c>
      <c r="M33" s="252" t="s">
        <v>236</v>
      </c>
      <c r="N33" s="252" t="s">
        <v>236</v>
      </c>
      <c r="O33" s="252" t="s">
        <v>236</v>
      </c>
      <c r="P33" s="252" t="s">
        <v>236</v>
      </c>
      <c r="Q33" s="482"/>
    </row>
    <row r="34" spans="1:17" s="229" customFormat="1" ht="23.45" customHeight="1" x14ac:dyDescent="0.25">
      <c r="A34" s="498" t="s">
        <v>31</v>
      </c>
      <c r="B34" s="511" t="s">
        <v>32</v>
      </c>
      <c r="C34" s="480" t="s">
        <v>161</v>
      </c>
      <c r="D34" s="224" t="s">
        <v>215</v>
      </c>
      <c r="E34" s="255">
        <f t="shared" ref="E34:J34" si="6">E35+E36</f>
        <v>1834.7</v>
      </c>
      <c r="F34" s="255">
        <f t="shared" si="6"/>
        <v>468</v>
      </c>
      <c r="G34" s="255">
        <f t="shared" si="6"/>
        <v>352.1</v>
      </c>
      <c r="H34" s="255">
        <f t="shared" si="6"/>
        <v>338.2</v>
      </c>
      <c r="I34" s="255">
        <f t="shared" si="6"/>
        <v>338.2</v>
      </c>
      <c r="J34" s="255">
        <f t="shared" si="6"/>
        <v>338.2</v>
      </c>
      <c r="K34" s="243"/>
      <c r="L34" s="256"/>
      <c r="M34" s="256"/>
      <c r="N34" s="256"/>
      <c r="O34" s="256"/>
      <c r="P34" s="256"/>
      <c r="Q34" s="257"/>
    </row>
    <row r="35" spans="1:17" s="229" customFormat="1" ht="15.75" customHeight="1" x14ac:dyDescent="0.25">
      <c r="A35" s="808"/>
      <c r="B35" s="513"/>
      <c r="C35" s="535"/>
      <c r="D35" s="251" t="s">
        <v>5</v>
      </c>
      <c r="E35" s="212">
        <f>SUM(F35:J35)</f>
        <v>1834.7</v>
      </c>
      <c r="F35" s="212">
        <v>468</v>
      </c>
      <c r="G35" s="211">
        <f>338.2+140-126.1</f>
        <v>352.1</v>
      </c>
      <c r="H35" s="212">
        <v>338.2</v>
      </c>
      <c r="I35" s="212">
        <v>338.2</v>
      </c>
      <c r="J35" s="212">
        <v>338.2</v>
      </c>
      <c r="K35" s="243" t="s">
        <v>244</v>
      </c>
      <c r="L35" s="252" t="s">
        <v>240</v>
      </c>
      <c r="M35" s="252" t="s">
        <v>240</v>
      </c>
      <c r="N35" s="252" t="s">
        <v>240</v>
      </c>
      <c r="O35" s="252" t="s">
        <v>240</v>
      </c>
      <c r="P35" s="252" t="s">
        <v>240</v>
      </c>
      <c r="Q35" s="480" t="s">
        <v>135</v>
      </c>
    </row>
    <row r="36" spans="1:17" s="229" customFormat="1" ht="23.25" customHeight="1" x14ac:dyDescent="0.25">
      <c r="A36" s="809"/>
      <c r="B36" s="514"/>
      <c r="C36" s="536"/>
      <c r="D36" s="253" t="s">
        <v>6</v>
      </c>
      <c r="E36" s="212">
        <f>SUM(F36:J36)</f>
        <v>0</v>
      </c>
      <c r="F36" s="254">
        <v>0</v>
      </c>
      <c r="G36" s="254">
        <v>0</v>
      </c>
      <c r="H36" s="254">
        <v>0</v>
      </c>
      <c r="I36" s="254">
        <v>0</v>
      </c>
      <c r="J36" s="254">
        <v>0</v>
      </c>
      <c r="K36" s="330" t="s">
        <v>245</v>
      </c>
      <c r="L36" s="252" t="s">
        <v>236</v>
      </c>
      <c r="M36" s="252" t="s">
        <v>236</v>
      </c>
      <c r="N36" s="252" t="s">
        <v>236</v>
      </c>
      <c r="O36" s="252" t="s">
        <v>236</v>
      </c>
      <c r="P36" s="252" t="s">
        <v>236</v>
      </c>
      <c r="Q36" s="482"/>
    </row>
    <row r="37" spans="1:17" s="229" customFormat="1" ht="22.5" customHeight="1" x14ac:dyDescent="0.25">
      <c r="A37" s="498" t="s">
        <v>143</v>
      </c>
      <c r="B37" s="511" t="s">
        <v>145</v>
      </c>
      <c r="C37" s="480" t="s">
        <v>162</v>
      </c>
      <c r="D37" s="224" t="s">
        <v>215</v>
      </c>
      <c r="E37" s="255">
        <f t="shared" ref="E37:J37" si="7">E38</f>
        <v>14.3</v>
      </c>
      <c r="F37" s="255">
        <f t="shared" si="7"/>
        <v>14.3</v>
      </c>
      <c r="G37" s="255">
        <f t="shared" si="7"/>
        <v>0</v>
      </c>
      <c r="H37" s="255">
        <f t="shared" si="7"/>
        <v>0</v>
      </c>
      <c r="I37" s="255">
        <f t="shared" si="7"/>
        <v>0</v>
      </c>
      <c r="J37" s="255">
        <f t="shared" si="7"/>
        <v>0</v>
      </c>
      <c r="K37" s="243"/>
      <c r="L37" s="256"/>
      <c r="M37" s="256"/>
      <c r="N37" s="256"/>
      <c r="O37" s="256"/>
      <c r="P37" s="256"/>
      <c r="Q37" s="257"/>
    </row>
    <row r="38" spans="1:17" s="229" customFormat="1" ht="21.6" customHeight="1" x14ac:dyDescent="0.25">
      <c r="A38" s="693"/>
      <c r="B38" s="513"/>
      <c r="C38" s="535"/>
      <c r="D38" s="502" t="s">
        <v>5</v>
      </c>
      <c r="E38" s="485">
        <f>SUM(F38:J39)</f>
        <v>14.3</v>
      </c>
      <c r="F38" s="485">
        <v>14.3</v>
      </c>
      <c r="G38" s="485">
        <v>0</v>
      </c>
      <c r="H38" s="485">
        <v>0</v>
      </c>
      <c r="I38" s="485">
        <v>0</v>
      </c>
      <c r="J38" s="485">
        <v>0</v>
      </c>
      <c r="K38" s="243" t="s">
        <v>244</v>
      </c>
      <c r="L38" s="252" t="s">
        <v>236</v>
      </c>
      <c r="M38" s="252">
        <v>0</v>
      </c>
      <c r="N38" s="252">
        <v>0</v>
      </c>
      <c r="O38" s="252">
        <v>0</v>
      </c>
      <c r="P38" s="252">
        <v>0</v>
      </c>
      <c r="Q38" s="480" t="s">
        <v>144</v>
      </c>
    </row>
    <row r="39" spans="1:17" s="229" customFormat="1" ht="24" customHeight="1" x14ac:dyDescent="0.25">
      <c r="A39" s="686"/>
      <c r="B39" s="514"/>
      <c r="C39" s="536"/>
      <c r="D39" s="504"/>
      <c r="E39" s="487"/>
      <c r="F39" s="487"/>
      <c r="G39" s="487"/>
      <c r="H39" s="487"/>
      <c r="I39" s="487"/>
      <c r="J39" s="487"/>
      <c r="K39" s="243" t="s">
        <v>245</v>
      </c>
      <c r="L39" s="252" t="s">
        <v>236</v>
      </c>
      <c r="M39" s="252">
        <v>0</v>
      </c>
      <c r="N39" s="252">
        <v>0</v>
      </c>
      <c r="O39" s="252">
        <v>0</v>
      </c>
      <c r="P39" s="252">
        <v>0</v>
      </c>
      <c r="Q39" s="482"/>
    </row>
    <row r="40" spans="1:17" s="229" customFormat="1" ht="21.75" customHeight="1" x14ac:dyDescent="0.25">
      <c r="A40" s="498" t="s">
        <v>148</v>
      </c>
      <c r="B40" s="511" t="s">
        <v>149</v>
      </c>
      <c r="C40" s="480" t="s">
        <v>162</v>
      </c>
      <c r="D40" s="258" t="s">
        <v>215</v>
      </c>
      <c r="E40" s="259">
        <f t="shared" ref="E40:J40" si="8">E41</f>
        <v>25</v>
      </c>
      <c r="F40" s="259">
        <f t="shared" si="8"/>
        <v>25</v>
      </c>
      <c r="G40" s="259">
        <f t="shared" si="8"/>
        <v>0</v>
      </c>
      <c r="H40" s="259">
        <f t="shared" si="8"/>
        <v>0</v>
      </c>
      <c r="I40" s="259">
        <f t="shared" si="8"/>
        <v>0</v>
      </c>
      <c r="J40" s="259">
        <f t="shared" si="8"/>
        <v>0</v>
      </c>
      <c r="K40" s="511" t="s">
        <v>244</v>
      </c>
      <c r="L40" s="475" t="s">
        <v>236</v>
      </c>
      <c r="M40" s="475">
        <v>0</v>
      </c>
      <c r="N40" s="475">
        <v>0</v>
      </c>
      <c r="O40" s="475">
        <v>0</v>
      </c>
      <c r="P40" s="475">
        <v>0</v>
      </c>
      <c r="Q40" s="480" t="s">
        <v>135</v>
      </c>
    </row>
    <row r="41" spans="1:17" s="229" customFormat="1" ht="2.25" hidden="1" customHeight="1" x14ac:dyDescent="0.25">
      <c r="A41" s="693"/>
      <c r="B41" s="513"/>
      <c r="C41" s="535"/>
      <c r="D41" s="502" t="s">
        <v>5</v>
      </c>
      <c r="E41" s="485">
        <f>SUM(F41:J42)</f>
        <v>25</v>
      </c>
      <c r="F41" s="485">
        <v>25</v>
      </c>
      <c r="G41" s="485">
        <v>0</v>
      </c>
      <c r="H41" s="485">
        <v>0</v>
      </c>
      <c r="I41" s="485">
        <v>0</v>
      </c>
      <c r="J41" s="485">
        <v>0</v>
      </c>
      <c r="K41" s="514"/>
      <c r="L41" s="802"/>
      <c r="M41" s="802"/>
      <c r="N41" s="802"/>
      <c r="O41" s="802"/>
      <c r="P41" s="802"/>
      <c r="Q41" s="535"/>
    </row>
    <row r="42" spans="1:17" s="229" customFormat="1" ht="39.6" customHeight="1" thickBot="1" x14ac:dyDescent="0.3">
      <c r="A42" s="686"/>
      <c r="B42" s="514"/>
      <c r="C42" s="536"/>
      <c r="D42" s="503"/>
      <c r="E42" s="486"/>
      <c r="F42" s="486"/>
      <c r="G42" s="486"/>
      <c r="H42" s="486"/>
      <c r="I42" s="486"/>
      <c r="J42" s="486"/>
      <c r="K42" s="243" t="s">
        <v>245</v>
      </c>
      <c r="L42" s="252" t="s">
        <v>236</v>
      </c>
      <c r="M42" s="252">
        <v>0</v>
      </c>
      <c r="N42" s="252">
        <v>0</v>
      </c>
      <c r="O42" s="252">
        <v>0</v>
      </c>
      <c r="P42" s="252">
        <v>0</v>
      </c>
      <c r="Q42" s="536"/>
    </row>
    <row r="43" spans="1:17" s="233" customFormat="1" ht="12" customHeight="1" x14ac:dyDescent="0.2">
      <c r="A43" s="495"/>
      <c r="B43" s="549" t="s">
        <v>33</v>
      </c>
      <c r="C43" s="537"/>
      <c r="D43" s="232" t="s">
        <v>11</v>
      </c>
      <c r="E43" s="800">
        <f>F43+G43+H43+I43+J43</f>
        <v>1874.0000000000002</v>
      </c>
      <c r="F43" s="800">
        <f>SUM(F45:F46)</f>
        <v>507.3</v>
      </c>
      <c r="G43" s="800">
        <f>SUM(G45:G46)</f>
        <v>352.1</v>
      </c>
      <c r="H43" s="800">
        <f>SUM(H45:H46)</f>
        <v>338.2</v>
      </c>
      <c r="I43" s="800">
        <f>SUM(I45:I46)</f>
        <v>338.2</v>
      </c>
      <c r="J43" s="798">
        <f>SUM(J45:J46)</f>
        <v>338.2</v>
      </c>
      <c r="K43" s="755"/>
      <c r="L43" s="495"/>
      <c r="M43" s="495"/>
      <c r="N43" s="495"/>
      <c r="O43" s="495"/>
      <c r="P43" s="495"/>
      <c r="Q43" s="779"/>
    </row>
    <row r="44" spans="1:17" s="233" customFormat="1" ht="13.5" customHeight="1" x14ac:dyDescent="0.2">
      <c r="A44" s="495"/>
      <c r="B44" s="549"/>
      <c r="C44" s="537"/>
      <c r="D44" s="234" t="s">
        <v>12</v>
      </c>
      <c r="E44" s="801"/>
      <c r="F44" s="801"/>
      <c r="G44" s="801"/>
      <c r="H44" s="801"/>
      <c r="I44" s="801"/>
      <c r="J44" s="799"/>
      <c r="K44" s="755"/>
      <c r="L44" s="495"/>
      <c r="M44" s="495"/>
      <c r="N44" s="495"/>
      <c r="O44" s="495"/>
      <c r="P44" s="495"/>
      <c r="Q44" s="779"/>
    </row>
    <row r="45" spans="1:17" s="233" customFormat="1" ht="11.25" customHeight="1" x14ac:dyDescent="0.2">
      <c r="A45" s="495"/>
      <c r="B45" s="549"/>
      <c r="C45" s="537"/>
      <c r="D45" s="235" t="s">
        <v>5</v>
      </c>
      <c r="E45" s="212">
        <f>SUM(F45:J45)</f>
        <v>1874.0000000000002</v>
      </c>
      <c r="F45" s="236">
        <v>507.3</v>
      </c>
      <c r="G45" s="179">
        <f>SUM(G32,G35,G38:G42)</f>
        <v>352.1</v>
      </c>
      <c r="H45" s="236">
        <f>SUM(H32,H35,H38:H42)</f>
        <v>338.2</v>
      </c>
      <c r="I45" s="236">
        <f>SUM(I32,I35,I38:I42)</f>
        <v>338.2</v>
      </c>
      <c r="J45" s="237">
        <f>SUM(J32,J35,J38:J42)</f>
        <v>338.2</v>
      </c>
      <c r="K45" s="755"/>
      <c r="L45" s="495"/>
      <c r="M45" s="495"/>
      <c r="N45" s="495"/>
      <c r="O45" s="495"/>
      <c r="P45" s="495"/>
      <c r="Q45" s="779"/>
    </row>
    <row r="46" spans="1:17" s="233" customFormat="1" ht="14.25" customHeight="1" thickBot="1" x14ac:dyDescent="0.25">
      <c r="A46" s="495"/>
      <c r="B46" s="549"/>
      <c r="C46" s="537"/>
      <c r="D46" s="238" t="s">
        <v>6</v>
      </c>
      <c r="E46" s="239">
        <f>SUM(F46:H46)</f>
        <v>0</v>
      </c>
      <c r="F46" s="239">
        <v>0</v>
      </c>
      <c r="G46" s="239">
        <v>0</v>
      </c>
      <c r="H46" s="239">
        <v>0</v>
      </c>
      <c r="I46" s="239">
        <v>0</v>
      </c>
      <c r="J46" s="240">
        <v>0</v>
      </c>
      <c r="K46" s="755"/>
      <c r="L46" s="495"/>
      <c r="M46" s="495"/>
      <c r="N46" s="495"/>
      <c r="O46" s="495"/>
      <c r="P46" s="495"/>
      <c r="Q46" s="779"/>
    </row>
    <row r="47" spans="1:17" s="229" customFormat="1" ht="12.75" customHeight="1" x14ac:dyDescent="0.25">
      <c r="A47" s="260" t="s">
        <v>34</v>
      </c>
      <c r="B47" s="792" t="s">
        <v>35</v>
      </c>
      <c r="C47" s="793"/>
      <c r="D47" s="794"/>
      <c r="E47" s="794"/>
      <c r="F47" s="794"/>
      <c r="G47" s="794"/>
      <c r="H47" s="794"/>
      <c r="I47" s="794"/>
      <c r="J47" s="794"/>
      <c r="K47" s="793"/>
      <c r="L47" s="793"/>
      <c r="M47" s="793"/>
      <c r="N47" s="793"/>
      <c r="O47" s="793"/>
      <c r="P47" s="793"/>
      <c r="Q47" s="795"/>
    </row>
    <row r="48" spans="1:17" s="229" customFormat="1" ht="23.25" customHeight="1" x14ac:dyDescent="0.25">
      <c r="A48" s="515" t="s">
        <v>36</v>
      </c>
      <c r="B48" s="796" t="s">
        <v>37</v>
      </c>
      <c r="C48" s="779" t="s">
        <v>161</v>
      </c>
      <c r="D48" s="224" t="s">
        <v>215</v>
      </c>
      <c r="E48" s="242">
        <f t="shared" ref="E48:J48" si="9">E49</f>
        <v>313.10000000000002</v>
      </c>
      <c r="F48" s="242">
        <f t="shared" si="9"/>
        <v>184.4</v>
      </c>
      <c r="G48" s="242">
        <f t="shared" si="9"/>
        <v>128.69999999999999</v>
      </c>
      <c r="H48" s="242">
        <f t="shared" si="9"/>
        <v>0</v>
      </c>
      <c r="I48" s="242">
        <f t="shared" si="9"/>
        <v>0</v>
      </c>
      <c r="J48" s="242">
        <f t="shared" si="9"/>
        <v>0</v>
      </c>
      <c r="K48" s="228"/>
      <c r="L48" s="228"/>
      <c r="M48" s="228"/>
      <c r="N48" s="228"/>
      <c r="O48" s="228"/>
      <c r="P48" s="228"/>
      <c r="Q48" s="228"/>
    </row>
    <row r="49" spans="1:17" s="229" customFormat="1" ht="37.35" customHeight="1" x14ac:dyDescent="0.25">
      <c r="A49" s="685"/>
      <c r="B49" s="725"/>
      <c r="C49" s="797"/>
      <c r="D49" s="502" t="s">
        <v>5</v>
      </c>
      <c r="E49" s="485">
        <f>SUM(F49:J50)</f>
        <v>313.10000000000002</v>
      </c>
      <c r="F49" s="485">
        <f>71.1-28+156.9-15.6</f>
        <v>184.4</v>
      </c>
      <c r="G49" s="485">
        <f>160-31.3</f>
        <v>128.69999999999999</v>
      </c>
      <c r="H49" s="485">
        <v>0</v>
      </c>
      <c r="I49" s="485">
        <v>0</v>
      </c>
      <c r="J49" s="485">
        <v>0</v>
      </c>
      <c r="K49" s="243" t="s">
        <v>246</v>
      </c>
      <c r="L49" s="228">
        <v>25</v>
      </c>
      <c r="M49" s="228">
        <v>25</v>
      </c>
      <c r="N49" s="228">
        <v>0</v>
      </c>
      <c r="O49" s="228">
        <v>0</v>
      </c>
      <c r="P49" s="228">
        <v>0</v>
      </c>
      <c r="Q49" s="480" t="s">
        <v>146</v>
      </c>
    </row>
    <row r="50" spans="1:17" s="229" customFormat="1" ht="21.75" customHeight="1" thickBot="1" x14ac:dyDescent="0.3">
      <c r="A50" s="685"/>
      <c r="B50" s="725"/>
      <c r="C50" s="797"/>
      <c r="D50" s="503"/>
      <c r="E50" s="486"/>
      <c r="F50" s="486"/>
      <c r="G50" s="486"/>
      <c r="H50" s="486"/>
      <c r="I50" s="486"/>
      <c r="J50" s="486"/>
      <c r="K50" s="243" t="s">
        <v>247</v>
      </c>
      <c r="L50" s="252" t="s">
        <v>236</v>
      </c>
      <c r="M50" s="252" t="s">
        <v>236</v>
      </c>
      <c r="N50" s="252" t="s">
        <v>213</v>
      </c>
      <c r="O50" s="252" t="s">
        <v>213</v>
      </c>
      <c r="P50" s="252" t="s">
        <v>213</v>
      </c>
      <c r="Q50" s="482"/>
    </row>
    <row r="51" spans="1:17" s="229" customFormat="1" ht="23.25" customHeight="1" x14ac:dyDescent="0.25">
      <c r="A51" s="498"/>
      <c r="B51" s="511" t="s">
        <v>48</v>
      </c>
      <c r="C51" s="786"/>
      <c r="D51" s="261" t="s">
        <v>228</v>
      </c>
      <c r="E51" s="262">
        <f t="shared" ref="E51:J51" si="10">E49</f>
        <v>313.10000000000002</v>
      </c>
      <c r="F51" s="262">
        <f t="shared" si="10"/>
        <v>184.4</v>
      </c>
      <c r="G51" s="262">
        <f t="shared" si="10"/>
        <v>128.69999999999999</v>
      </c>
      <c r="H51" s="262">
        <f t="shared" si="10"/>
        <v>0</v>
      </c>
      <c r="I51" s="262">
        <f t="shared" si="10"/>
        <v>0</v>
      </c>
      <c r="J51" s="263">
        <f t="shared" si="10"/>
        <v>0</v>
      </c>
      <c r="K51" s="788"/>
      <c r="L51" s="786"/>
      <c r="M51" s="786"/>
      <c r="N51" s="786"/>
      <c r="O51" s="786"/>
      <c r="P51" s="786"/>
      <c r="Q51" s="779"/>
    </row>
    <row r="52" spans="1:17" s="229" customFormat="1" ht="13.35" customHeight="1" x14ac:dyDescent="0.25">
      <c r="A52" s="693"/>
      <c r="B52" s="516"/>
      <c r="C52" s="787"/>
      <c r="D52" s="248" t="s">
        <v>5</v>
      </c>
      <c r="E52" s="254">
        <f t="shared" ref="E52:J52" si="11">E51</f>
        <v>313.10000000000002</v>
      </c>
      <c r="F52" s="254">
        <f t="shared" si="11"/>
        <v>184.4</v>
      </c>
      <c r="G52" s="254">
        <f t="shared" si="11"/>
        <v>128.69999999999999</v>
      </c>
      <c r="H52" s="254">
        <f t="shared" si="11"/>
        <v>0</v>
      </c>
      <c r="I52" s="254">
        <f t="shared" si="11"/>
        <v>0</v>
      </c>
      <c r="J52" s="264">
        <f t="shared" si="11"/>
        <v>0</v>
      </c>
      <c r="K52" s="789"/>
      <c r="L52" s="787"/>
      <c r="M52" s="787"/>
      <c r="N52" s="787"/>
      <c r="O52" s="787"/>
      <c r="P52" s="787"/>
      <c r="Q52" s="544"/>
    </row>
    <row r="53" spans="1:17" s="229" customFormat="1" ht="18" customHeight="1" thickBot="1" x14ac:dyDescent="0.3">
      <c r="A53" s="693"/>
      <c r="B53" s="516"/>
      <c r="C53" s="787"/>
      <c r="D53" s="265" t="s">
        <v>6</v>
      </c>
      <c r="E53" s="212">
        <v>0</v>
      </c>
      <c r="F53" s="212">
        <v>0</v>
      </c>
      <c r="G53" s="212">
        <v>0</v>
      </c>
      <c r="H53" s="212">
        <v>0</v>
      </c>
      <c r="I53" s="212">
        <v>0</v>
      </c>
      <c r="J53" s="266">
        <v>0</v>
      </c>
      <c r="K53" s="790"/>
      <c r="L53" s="791"/>
      <c r="M53" s="791"/>
      <c r="N53" s="791"/>
      <c r="O53" s="791"/>
      <c r="P53" s="791"/>
      <c r="Q53" s="544"/>
    </row>
    <row r="54" spans="1:17" s="233" customFormat="1" ht="9.75" customHeight="1" x14ac:dyDescent="0.2">
      <c r="A54" s="495"/>
      <c r="B54" s="549" t="s">
        <v>13</v>
      </c>
      <c r="C54" s="546"/>
      <c r="D54" s="232" t="s">
        <v>11</v>
      </c>
      <c r="E54" s="780">
        <f>SUM(F54:J54)</f>
        <v>4100.3</v>
      </c>
      <c r="F54" s="780">
        <f>SUM(F56:F57)</f>
        <v>1011.5999999999999</v>
      </c>
      <c r="G54" s="780">
        <f>SUM(G56:G57)</f>
        <v>853.4</v>
      </c>
      <c r="H54" s="780">
        <f>SUM(H56:H57)</f>
        <v>736.5</v>
      </c>
      <c r="I54" s="780">
        <f>SUM(I56:I57)</f>
        <v>749.4</v>
      </c>
      <c r="J54" s="782">
        <f>SUM(J56:J57)</f>
        <v>749.4</v>
      </c>
      <c r="K54" s="784"/>
      <c r="L54" s="518"/>
      <c r="M54" s="518"/>
      <c r="N54" s="518"/>
      <c r="O54" s="518"/>
      <c r="P54" s="518"/>
      <c r="Q54" s="482"/>
    </row>
    <row r="55" spans="1:17" s="233" customFormat="1" ht="13.5" customHeight="1" x14ac:dyDescent="0.2">
      <c r="A55" s="495"/>
      <c r="B55" s="549"/>
      <c r="C55" s="546"/>
      <c r="D55" s="234" t="s">
        <v>12</v>
      </c>
      <c r="E55" s="781"/>
      <c r="F55" s="781"/>
      <c r="G55" s="781"/>
      <c r="H55" s="781"/>
      <c r="I55" s="781"/>
      <c r="J55" s="783"/>
      <c r="K55" s="755"/>
      <c r="L55" s="495"/>
      <c r="M55" s="495"/>
      <c r="N55" s="495"/>
      <c r="O55" s="495"/>
      <c r="P55" s="495"/>
      <c r="Q55" s="779"/>
    </row>
    <row r="56" spans="1:17" s="233" customFormat="1" ht="15" customHeight="1" x14ac:dyDescent="0.2">
      <c r="A56" s="495"/>
      <c r="B56" s="549"/>
      <c r="C56" s="546"/>
      <c r="D56" s="235" t="s">
        <v>5</v>
      </c>
      <c r="E56" s="236">
        <f>SUM(F56:J56)</f>
        <v>2742.3999999999996</v>
      </c>
      <c r="F56" s="236">
        <f>SUM(F13,F23:F26,F35,F49,F38,F41)</f>
        <v>762.99999999999989</v>
      </c>
      <c r="G56" s="179">
        <f>SUM(G13,G23:G26,G35,G49,G38:G42)</f>
        <v>604.79999999999995</v>
      </c>
      <c r="H56" s="236">
        <f>SUM(H13,H23:H26,H35,H49,H38:H42)</f>
        <v>458.2</v>
      </c>
      <c r="I56" s="236">
        <f>SUM(I13,I23:I26,I35,I49,I38:I42)</f>
        <v>458.2</v>
      </c>
      <c r="J56" s="237">
        <f>SUM(J13,J23:J26,J35,J49,J38:J42)</f>
        <v>458.2</v>
      </c>
      <c r="K56" s="755"/>
      <c r="L56" s="495"/>
      <c r="M56" s="495"/>
      <c r="N56" s="495"/>
      <c r="O56" s="495"/>
      <c r="P56" s="495"/>
      <c r="Q56" s="779"/>
    </row>
    <row r="57" spans="1:17" s="233" customFormat="1" ht="13.5" customHeight="1" thickBot="1" x14ac:dyDescent="0.25">
      <c r="A57" s="495"/>
      <c r="B57" s="549"/>
      <c r="C57" s="546"/>
      <c r="D57" s="238" t="s">
        <v>6</v>
      </c>
      <c r="E57" s="239">
        <f>SUM(F57:J57)</f>
        <v>1357.9</v>
      </c>
      <c r="F57" s="239">
        <f>SUM(F10,F33,F36,F50)</f>
        <v>248.6</v>
      </c>
      <c r="G57" s="239">
        <f>SUM(G10,G33,G36,G50)</f>
        <v>248.6</v>
      </c>
      <c r="H57" s="239">
        <f>SUM(H10,H33,H36,H50)</f>
        <v>278.3</v>
      </c>
      <c r="I57" s="239">
        <f>SUM(I10,I33,I36,I50)</f>
        <v>291.2</v>
      </c>
      <c r="J57" s="240">
        <f>SUM(J10,J33,J36,J50)</f>
        <v>291.2</v>
      </c>
      <c r="K57" s="785"/>
      <c r="L57" s="550"/>
      <c r="M57" s="550"/>
      <c r="N57" s="550"/>
      <c r="O57" s="550"/>
      <c r="P57" s="550"/>
      <c r="Q57" s="480"/>
    </row>
    <row r="58" spans="1:17" s="229" customFormat="1" ht="18.75" customHeight="1" x14ac:dyDescent="0.25">
      <c r="A58" s="267"/>
      <c r="B58" s="268"/>
      <c r="C58" s="268"/>
      <c r="D58" s="269"/>
      <c r="E58" s="268"/>
      <c r="F58" s="268"/>
      <c r="G58" s="268"/>
      <c r="H58" s="268"/>
      <c r="I58" s="268"/>
      <c r="J58" s="268"/>
      <c r="K58" s="270"/>
      <c r="L58" s="270"/>
      <c r="M58" s="270"/>
      <c r="N58" s="270"/>
      <c r="O58" s="270"/>
      <c r="P58" s="270"/>
      <c r="Q58" s="271"/>
    </row>
    <row r="59" spans="1:17" s="229" customFormat="1" ht="18.75" customHeight="1" x14ac:dyDescent="0.25">
      <c r="A59" s="267"/>
      <c r="B59" s="268"/>
      <c r="C59" s="268"/>
      <c r="D59" s="269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72"/>
    </row>
    <row r="60" spans="1:17" s="229" customFormat="1" ht="18.75" customHeight="1" x14ac:dyDescent="0.25">
      <c r="A60" s="267"/>
      <c r="B60" s="268"/>
      <c r="C60" s="268"/>
      <c r="D60" s="269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72"/>
    </row>
    <row r="61" spans="1:17" s="229" customFormat="1" ht="18.75" customHeight="1" x14ac:dyDescent="0.25">
      <c r="A61" s="267"/>
      <c r="B61" s="268"/>
      <c r="C61" s="268"/>
      <c r="D61" s="269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72"/>
    </row>
    <row r="62" spans="1:17" s="229" customFormat="1" ht="18.75" customHeight="1" x14ac:dyDescent="0.25">
      <c r="A62" s="273"/>
      <c r="B62" s="274"/>
      <c r="C62" s="274"/>
      <c r="D62" s="275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6"/>
    </row>
    <row r="63" spans="1:17" s="229" customFormat="1" ht="18.75" customHeight="1" x14ac:dyDescent="0.25">
      <c r="A63" s="273"/>
      <c r="B63" s="274"/>
      <c r="C63" s="274"/>
      <c r="D63" s="275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6"/>
    </row>
    <row r="64" spans="1:17" s="229" customFormat="1" ht="18.75" customHeight="1" x14ac:dyDescent="0.25">
      <c r="A64" s="273"/>
      <c r="B64" s="274"/>
      <c r="C64" s="274"/>
      <c r="D64" s="275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6"/>
    </row>
    <row r="65" spans="1:17" s="229" customFormat="1" ht="18.75" customHeight="1" x14ac:dyDescent="0.25">
      <c r="A65" s="273"/>
      <c r="B65" s="274"/>
      <c r="C65" s="274"/>
      <c r="D65" s="275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6"/>
    </row>
    <row r="66" spans="1:17" s="229" customFormat="1" ht="18.75" customHeight="1" x14ac:dyDescent="0.25">
      <c r="A66" s="273"/>
      <c r="B66" s="274"/>
      <c r="C66" s="274"/>
      <c r="D66" s="275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6"/>
    </row>
    <row r="67" spans="1:17" s="229" customFormat="1" ht="18.75" customHeight="1" x14ac:dyDescent="0.25">
      <c r="A67" s="273"/>
      <c r="B67" s="274"/>
      <c r="C67" s="274"/>
      <c r="D67" s="275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6"/>
    </row>
    <row r="68" spans="1:17" s="229" customFormat="1" ht="18.75" customHeight="1" x14ac:dyDescent="0.25">
      <c r="A68" s="273"/>
      <c r="B68" s="274"/>
      <c r="C68" s="274"/>
      <c r="D68" s="275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6"/>
    </row>
    <row r="69" spans="1:17" s="229" customFormat="1" ht="18.75" customHeight="1" x14ac:dyDescent="0.25">
      <c r="A69" s="273"/>
      <c r="B69" s="274"/>
      <c r="C69" s="274"/>
      <c r="D69" s="275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6"/>
    </row>
    <row r="70" spans="1:17" s="229" customFormat="1" ht="18.75" customHeight="1" x14ac:dyDescent="0.25">
      <c r="A70" s="273"/>
      <c r="B70" s="274"/>
      <c r="C70" s="274"/>
      <c r="D70" s="275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6"/>
    </row>
    <row r="71" spans="1:17" s="229" customFormat="1" ht="18.75" customHeight="1" x14ac:dyDescent="0.25">
      <c r="A71" s="273"/>
      <c r="B71" s="274"/>
      <c r="C71" s="274"/>
      <c r="D71" s="275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6"/>
    </row>
    <row r="72" spans="1:17" s="229" customFormat="1" ht="18.75" customHeight="1" x14ac:dyDescent="0.25">
      <c r="A72" s="273"/>
      <c r="B72" s="274"/>
      <c r="C72" s="274"/>
      <c r="D72" s="275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6"/>
    </row>
    <row r="73" spans="1:17" s="229" customFormat="1" ht="18.75" customHeight="1" x14ac:dyDescent="0.25">
      <c r="A73" s="273"/>
      <c r="B73" s="274"/>
      <c r="C73" s="274"/>
      <c r="D73" s="275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6"/>
    </row>
    <row r="74" spans="1:17" s="229" customFormat="1" ht="18.75" customHeight="1" x14ac:dyDescent="0.25">
      <c r="A74" s="273"/>
      <c r="B74" s="274"/>
      <c r="C74" s="274"/>
      <c r="D74" s="275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6"/>
    </row>
    <row r="75" spans="1:17" s="229" customFormat="1" ht="18.75" customHeight="1" x14ac:dyDescent="0.25">
      <c r="A75" s="273"/>
      <c r="B75" s="274"/>
      <c r="C75" s="274"/>
      <c r="D75" s="275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6"/>
    </row>
    <row r="76" spans="1:17" s="229" customFormat="1" ht="18.75" customHeight="1" x14ac:dyDescent="0.25">
      <c r="A76" s="273"/>
      <c r="B76" s="274"/>
      <c r="C76" s="274"/>
      <c r="D76" s="275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6"/>
    </row>
    <row r="77" spans="1:17" s="229" customFormat="1" ht="18.75" customHeight="1" x14ac:dyDescent="0.25">
      <c r="A77" s="273"/>
      <c r="B77" s="274"/>
      <c r="C77" s="274"/>
      <c r="D77" s="275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6"/>
    </row>
    <row r="78" spans="1:17" s="229" customFormat="1" ht="18.75" customHeight="1" x14ac:dyDescent="0.25">
      <c r="A78" s="273"/>
      <c r="B78" s="274"/>
      <c r="C78" s="274"/>
      <c r="D78" s="275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6"/>
    </row>
    <row r="79" spans="1:17" s="229" customFormat="1" ht="18.75" customHeight="1" x14ac:dyDescent="0.25">
      <c r="A79" s="273"/>
      <c r="B79" s="274"/>
      <c r="C79" s="274"/>
      <c r="D79" s="275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6"/>
    </row>
    <row r="80" spans="1:17" s="229" customFormat="1" ht="18.75" customHeight="1" x14ac:dyDescent="0.25">
      <c r="A80" s="273"/>
      <c r="B80" s="274"/>
      <c r="C80" s="274"/>
      <c r="D80" s="275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6"/>
    </row>
    <row r="81" spans="1:17" s="229" customFormat="1" ht="18.75" customHeight="1" x14ac:dyDescent="0.25">
      <c r="A81" s="273"/>
      <c r="B81" s="274"/>
      <c r="C81" s="274"/>
      <c r="D81" s="275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6"/>
    </row>
    <row r="82" spans="1:17" ht="18.75" customHeight="1" x14ac:dyDescent="0.2">
      <c r="A82" s="273"/>
      <c r="B82" s="277"/>
      <c r="C82" s="277"/>
      <c r="D82" s="275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6"/>
    </row>
    <row r="83" spans="1:17" ht="18.75" customHeight="1" x14ac:dyDescent="0.2">
      <c r="A83" s="273"/>
      <c r="B83" s="277"/>
      <c r="C83" s="277"/>
      <c r="D83" s="275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6"/>
    </row>
    <row r="84" spans="1:17" ht="18.75" customHeight="1" x14ac:dyDescent="0.2">
      <c r="A84" s="273"/>
      <c r="B84" s="277"/>
      <c r="C84" s="277"/>
      <c r="D84" s="275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6"/>
    </row>
    <row r="85" spans="1:17" ht="18.75" customHeight="1" x14ac:dyDescent="0.2">
      <c r="A85" s="273"/>
      <c r="B85" s="277"/>
      <c r="C85" s="277"/>
      <c r="D85" s="275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6"/>
    </row>
    <row r="86" spans="1:17" ht="18.75" customHeight="1" x14ac:dyDescent="0.2">
      <c r="A86" s="278"/>
      <c r="B86" s="279"/>
      <c r="C86" s="279"/>
      <c r="D86" s="280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81"/>
    </row>
    <row r="87" spans="1:17" ht="18.75" customHeight="1" x14ac:dyDescent="0.2">
      <c r="A87" s="278"/>
      <c r="B87" s="279"/>
      <c r="C87" s="279"/>
      <c r="D87" s="280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81"/>
    </row>
    <row r="88" spans="1:17" ht="18.75" customHeight="1" x14ac:dyDescent="0.2">
      <c r="A88" s="278"/>
      <c r="B88" s="279"/>
      <c r="C88" s="279"/>
      <c r="D88" s="280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81"/>
    </row>
    <row r="89" spans="1:17" ht="18.75" customHeight="1" x14ac:dyDescent="0.2">
      <c r="A89" s="278"/>
      <c r="B89" s="279"/>
      <c r="C89" s="279"/>
      <c r="D89" s="280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81"/>
    </row>
    <row r="90" spans="1:17" ht="18.75" customHeight="1" x14ac:dyDescent="0.2">
      <c r="A90" s="278"/>
      <c r="B90" s="279"/>
      <c r="C90" s="279"/>
      <c r="D90" s="280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81"/>
    </row>
    <row r="91" spans="1:17" ht="18.75" customHeight="1" x14ac:dyDescent="0.2">
      <c r="A91" s="278"/>
      <c r="B91" s="279"/>
      <c r="C91" s="279"/>
      <c r="D91" s="280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81"/>
    </row>
    <row r="92" spans="1:17" ht="18.75" customHeight="1" x14ac:dyDescent="0.2">
      <c r="A92" s="278"/>
      <c r="B92" s="279"/>
      <c r="C92" s="279"/>
      <c r="D92" s="280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81"/>
    </row>
    <row r="93" spans="1:17" ht="18.75" customHeight="1" x14ac:dyDescent="0.2">
      <c r="A93" s="278"/>
      <c r="B93" s="279"/>
      <c r="C93" s="279"/>
      <c r="D93" s="280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81"/>
    </row>
    <row r="94" spans="1:17" ht="18.75" customHeight="1" x14ac:dyDescent="0.2">
      <c r="A94" s="278"/>
      <c r="B94" s="279"/>
      <c r="C94" s="279"/>
      <c r="D94" s="280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81"/>
    </row>
    <row r="95" spans="1:17" ht="18.75" customHeight="1" x14ac:dyDescent="0.2">
      <c r="A95" s="278"/>
      <c r="B95" s="279"/>
      <c r="C95" s="279"/>
      <c r="D95" s="280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81"/>
    </row>
    <row r="96" spans="1:17" ht="18.75" customHeight="1" x14ac:dyDescent="0.2">
      <c r="A96" s="278"/>
      <c r="B96" s="279"/>
      <c r="C96" s="279"/>
      <c r="D96" s="280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81"/>
    </row>
    <row r="97" spans="1:17" ht="18.75" customHeight="1" x14ac:dyDescent="0.2">
      <c r="A97" s="278"/>
      <c r="B97" s="279"/>
      <c r="C97" s="279"/>
      <c r="D97" s="280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81"/>
    </row>
    <row r="98" spans="1:17" ht="18.75" customHeight="1" x14ac:dyDescent="0.2">
      <c r="A98" s="278"/>
      <c r="B98" s="279"/>
      <c r="C98" s="279"/>
      <c r="D98" s="280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81"/>
    </row>
    <row r="99" spans="1:17" ht="18.75" customHeight="1" x14ac:dyDescent="0.2">
      <c r="A99" s="278"/>
      <c r="B99" s="279"/>
      <c r="C99" s="279"/>
      <c r="D99" s="280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81"/>
    </row>
    <row r="100" spans="1:17" ht="18.75" customHeight="1" x14ac:dyDescent="0.2">
      <c r="A100" s="278"/>
      <c r="B100" s="279"/>
      <c r="C100" s="279"/>
      <c r="D100" s="280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81"/>
    </row>
    <row r="101" spans="1:17" ht="18.75" customHeight="1" x14ac:dyDescent="0.2">
      <c r="A101" s="278"/>
      <c r="B101" s="279"/>
      <c r="C101" s="279"/>
      <c r="D101" s="280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81"/>
    </row>
    <row r="102" spans="1:17" ht="18.75" customHeight="1" x14ac:dyDescent="0.2">
      <c r="A102" s="278"/>
      <c r="B102" s="279"/>
      <c r="C102" s="279"/>
      <c r="D102" s="280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81"/>
    </row>
    <row r="103" spans="1:17" ht="18.75" customHeight="1" x14ac:dyDescent="0.2">
      <c r="A103" s="278"/>
      <c r="B103" s="279"/>
      <c r="C103" s="279"/>
      <c r="D103" s="280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81"/>
    </row>
  </sheetData>
  <mergeCells count="188">
    <mergeCell ref="H1:Q1"/>
    <mergeCell ref="A2:Q2"/>
    <mergeCell ref="A4:A5"/>
    <mergeCell ref="B4:B5"/>
    <mergeCell ref="C4:C5"/>
    <mergeCell ref="D4:D5"/>
    <mergeCell ref="E4:J4"/>
    <mergeCell ref="K4:P4"/>
    <mergeCell ref="Q4:Q5"/>
    <mergeCell ref="A12:A16"/>
    <mergeCell ref="B12:B16"/>
    <mergeCell ref="C12:C16"/>
    <mergeCell ref="D13:D16"/>
    <mergeCell ref="E13:E16"/>
    <mergeCell ref="F13:F16"/>
    <mergeCell ref="G13:G16"/>
    <mergeCell ref="B7:Q7"/>
    <mergeCell ref="B8:Q8"/>
    <mergeCell ref="A9:A11"/>
    <mergeCell ref="B9:B11"/>
    <mergeCell ref="C9:C11"/>
    <mergeCell ref="D10:D11"/>
    <mergeCell ref="E10:E11"/>
    <mergeCell ref="F10:F11"/>
    <mergeCell ref="G10:G11"/>
    <mergeCell ref="H10:H11"/>
    <mergeCell ref="H13:H16"/>
    <mergeCell ref="I13:I16"/>
    <mergeCell ref="J13:J16"/>
    <mergeCell ref="K13:K14"/>
    <mergeCell ref="L13:L14"/>
    <mergeCell ref="M13:M14"/>
    <mergeCell ref="I10:I11"/>
    <mergeCell ref="J10:J11"/>
    <mergeCell ref="Q10:Q11"/>
    <mergeCell ref="N13:N14"/>
    <mergeCell ref="O13:O14"/>
    <mergeCell ref="P13:P14"/>
    <mergeCell ref="Q13:Q16"/>
    <mergeCell ref="K15:K16"/>
    <mergeCell ref="L15:L16"/>
    <mergeCell ref="M15:M16"/>
    <mergeCell ref="N15:N16"/>
    <mergeCell ref="O15:O16"/>
    <mergeCell ref="P15:P16"/>
    <mergeCell ref="A22:A26"/>
    <mergeCell ref="B22:B26"/>
    <mergeCell ref="C22:C26"/>
    <mergeCell ref="D23:D24"/>
    <mergeCell ref="E23:E24"/>
    <mergeCell ref="H17:H18"/>
    <mergeCell ref="I17:I18"/>
    <mergeCell ref="J17:J18"/>
    <mergeCell ref="K17:K20"/>
    <mergeCell ref="A17:A20"/>
    <mergeCell ref="B17:B20"/>
    <mergeCell ref="C17:C20"/>
    <mergeCell ref="E17:E18"/>
    <mergeCell ref="F17:F18"/>
    <mergeCell ref="G17:G18"/>
    <mergeCell ref="D25:D26"/>
    <mergeCell ref="E25:E26"/>
    <mergeCell ref="F25:F26"/>
    <mergeCell ref="G25:G26"/>
    <mergeCell ref="H25:H26"/>
    <mergeCell ref="N17:N20"/>
    <mergeCell ref="O17:O20"/>
    <mergeCell ref="P17:P20"/>
    <mergeCell ref="Q17:Q20"/>
    <mergeCell ref="B21:Q21"/>
    <mergeCell ref="L17:L20"/>
    <mergeCell ref="M17:M20"/>
    <mergeCell ref="Q23:Q24"/>
    <mergeCell ref="Q25:Q26"/>
    <mergeCell ref="L23:L25"/>
    <mergeCell ref="M23:M25"/>
    <mergeCell ref="N23:N25"/>
    <mergeCell ref="O23:O25"/>
    <mergeCell ref="P23:P25"/>
    <mergeCell ref="F23:F24"/>
    <mergeCell ref="G23:G24"/>
    <mergeCell ref="H23:H24"/>
    <mergeCell ref="I23:I24"/>
    <mergeCell ref="J23:J24"/>
    <mergeCell ref="K23:K25"/>
    <mergeCell ref="J25:J26"/>
    <mergeCell ref="I25:I26"/>
    <mergeCell ref="Q27:Q29"/>
    <mergeCell ref="B30:Q30"/>
    <mergeCell ref="A31:A33"/>
    <mergeCell ref="B31:B33"/>
    <mergeCell ref="C31:C33"/>
    <mergeCell ref="Q32:Q33"/>
    <mergeCell ref="A27:A29"/>
    <mergeCell ref="A34:A36"/>
    <mergeCell ref="B34:B36"/>
    <mergeCell ref="C34:C36"/>
    <mergeCell ref="Q35:Q36"/>
    <mergeCell ref="N27:N29"/>
    <mergeCell ref="P27:P29"/>
    <mergeCell ref="B27:B29"/>
    <mergeCell ref="C27:C29"/>
    <mergeCell ref="K27:K29"/>
    <mergeCell ref="L27:L29"/>
    <mergeCell ref="M27:M29"/>
    <mergeCell ref="O27:O29"/>
    <mergeCell ref="J41:J42"/>
    <mergeCell ref="A37:A39"/>
    <mergeCell ref="B37:B39"/>
    <mergeCell ref="C37:C39"/>
    <mergeCell ref="D38:D39"/>
    <mergeCell ref="E38:E39"/>
    <mergeCell ref="F38:F39"/>
    <mergeCell ref="G38:G39"/>
    <mergeCell ref="H38:H39"/>
    <mergeCell ref="I38:I39"/>
    <mergeCell ref="E43:E44"/>
    <mergeCell ref="F43:F44"/>
    <mergeCell ref="G43:G44"/>
    <mergeCell ref="H43:H44"/>
    <mergeCell ref="I43:I44"/>
    <mergeCell ref="P43:P46"/>
    <mergeCell ref="J38:J39"/>
    <mergeCell ref="Q38:Q39"/>
    <mergeCell ref="A40:A42"/>
    <mergeCell ref="B40:B42"/>
    <mergeCell ref="C40:C42"/>
    <mergeCell ref="K40:K41"/>
    <mergeCell ref="L40:L41"/>
    <mergeCell ref="M40:M41"/>
    <mergeCell ref="N40:N41"/>
    <mergeCell ref="O40:O41"/>
    <mergeCell ref="P40:P41"/>
    <mergeCell ref="Q40:Q42"/>
    <mergeCell ref="D41:D42"/>
    <mergeCell ref="E41:E42"/>
    <mergeCell ref="F41:F42"/>
    <mergeCell ref="G41:G42"/>
    <mergeCell ref="H41:H42"/>
    <mergeCell ref="I41:I42"/>
    <mergeCell ref="O51:O53"/>
    <mergeCell ref="P51:P53"/>
    <mergeCell ref="Q43:Q46"/>
    <mergeCell ref="B47:Q47"/>
    <mergeCell ref="A48:A50"/>
    <mergeCell ref="B48:B50"/>
    <mergeCell ref="C48:C50"/>
    <mergeCell ref="D49:D50"/>
    <mergeCell ref="E49:E50"/>
    <mergeCell ref="F49:F50"/>
    <mergeCell ref="G49:G50"/>
    <mergeCell ref="J43:J44"/>
    <mergeCell ref="K43:K46"/>
    <mergeCell ref="L43:L46"/>
    <mergeCell ref="M43:M46"/>
    <mergeCell ref="N43:N46"/>
    <mergeCell ref="O43:O46"/>
    <mergeCell ref="H49:H50"/>
    <mergeCell ref="I49:I50"/>
    <mergeCell ref="J49:J50"/>
    <mergeCell ref="Q49:Q50"/>
    <mergeCell ref="A43:A46"/>
    <mergeCell ref="B43:B46"/>
    <mergeCell ref="C43:C46"/>
    <mergeCell ref="Q51:Q53"/>
    <mergeCell ref="A54:A57"/>
    <mergeCell ref="B54:B57"/>
    <mergeCell ref="C54:C57"/>
    <mergeCell ref="E54:E55"/>
    <mergeCell ref="F54:F55"/>
    <mergeCell ref="G54:G55"/>
    <mergeCell ref="N54:N57"/>
    <mergeCell ref="O54:O57"/>
    <mergeCell ref="P54:P57"/>
    <mergeCell ref="Q54:Q57"/>
    <mergeCell ref="H54:H55"/>
    <mergeCell ref="I54:I55"/>
    <mergeCell ref="J54:J55"/>
    <mergeCell ref="K54:K57"/>
    <mergeCell ref="L54:L57"/>
    <mergeCell ref="M54:M57"/>
    <mergeCell ref="A51:A53"/>
    <mergeCell ref="B51:B53"/>
    <mergeCell ref="C51:C53"/>
    <mergeCell ref="K51:K53"/>
    <mergeCell ref="L51:L53"/>
    <mergeCell ref="M51:M53"/>
    <mergeCell ref="N51:N5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C000"/>
    <pageSetUpPr fitToPage="1"/>
  </sheetPr>
  <dimension ref="A1:R53"/>
  <sheetViews>
    <sheetView zoomScaleSheetLayoutView="100" workbookViewId="0">
      <pane ySplit="345" topLeftCell="A4" activePane="bottomLeft"/>
      <selection pane="bottomLeft" activeCell="R1" sqref="R1"/>
    </sheetView>
  </sheetViews>
  <sheetFormatPr defaultColWidth="19.5703125" defaultRowHeight="18.75" customHeight="1" x14ac:dyDescent="0.2"/>
  <cols>
    <col min="1" max="1" width="5.42578125" style="6" customWidth="1"/>
    <col min="2" max="2" width="35.140625" style="1" customWidth="1"/>
    <col min="3" max="3" width="8.42578125" style="1" customWidth="1"/>
    <col min="4" max="4" width="8" style="1" customWidth="1"/>
    <col min="5" max="10" width="7.42578125" style="1" customWidth="1"/>
    <col min="11" max="11" width="20" style="1" customWidth="1"/>
    <col min="12" max="16" width="4.42578125" style="1" customWidth="1"/>
    <col min="17" max="17" width="20.85546875" style="1" customWidth="1"/>
    <col min="18" max="16384" width="19.5703125" style="1"/>
  </cols>
  <sheetData>
    <row r="1" spans="1:18" ht="62.25" customHeight="1" x14ac:dyDescent="0.2">
      <c r="A1" s="28"/>
      <c r="B1" s="11"/>
      <c r="C1" s="11"/>
      <c r="D1" s="11"/>
      <c r="E1" s="11"/>
      <c r="F1" s="11"/>
      <c r="G1" s="560" t="s">
        <v>301</v>
      </c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9"/>
    </row>
    <row r="2" spans="1:18" ht="25.5" customHeight="1" x14ac:dyDescent="0.2">
      <c r="A2" s="561" t="s">
        <v>202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</row>
    <row r="3" spans="1:18" ht="9" customHeight="1" x14ac:dyDescent="0.2">
      <c r="A3" s="28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 t="s">
        <v>7</v>
      </c>
    </row>
    <row r="4" spans="1:18" ht="42" customHeight="1" x14ac:dyDescent="0.2">
      <c r="A4" s="562" t="s">
        <v>16</v>
      </c>
      <c r="B4" s="563" t="s">
        <v>15</v>
      </c>
      <c r="C4" s="562" t="s">
        <v>164</v>
      </c>
      <c r="D4" s="562" t="s">
        <v>165</v>
      </c>
      <c r="E4" s="565" t="s">
        <v>0</v>
      </c>
      <c r="F4" s="566"/>
      <c r="G4" s="566"/>
      <c r="H4" s="566"/>
      <c r="I4" s="566"/>
      <c r="J4" s="567"/>
      <c r="K4" s="565" t="s">
        <v>17</v>
      </c>
      <c r="L4" s="566"/>
      <c r="M4" s="566"/>
      <c r="N4" s="566"/>
      <c r="O4" s="566"/>
      <c r="P4" s="567"/>
      <c r="Q4" s="563" t="s">
        <v>14</v>
      </c>
    </row>
    <row r="5" spans="1:18" ht="12" customHeight="1" x14ac:dyDescent="0.2">
      <c r="A5" s="562"/>
      <c r="B5" s="564"/>
      <c r="C5" s="562"/>
      <c r="D5" s="562"/>
      <c r="E5" s="75" t="s">
        <v>1</v>
      </c>
      <c r="F5" s="75" t="s">
        <v>2</v>
      </c>
      <c r="G5" s="75" t="s">
        <v>3</v>
      </c>
      <c r="H5" s="75" t="s">
        <v>57</v>
      </c>
      <c r="I5" s="75" t="s">
        <v>155</v>
      </c>
      <c r="J5" s="75" t="s">
        <v>156</v>
      </c>
      <c r="K5" s="75" t="s">
        <v>4</v>
      </c>
      <c r="L5" s="75">
        <v>2014</v>
      </c>
      <c r="M5" s="75">
        <v>2015</v>
      </c>
      <c r="N5" s="75">
        <v>2016</v>
      </c>
      <c r="O5" s="75">
        <v>2017</v>
      </c>
      <c r="P5" s="75">
        <v>2018</v>
      </c>
      <c r="Q5" s="564"/>
    </row>
    <row r="6" spans="1:18" ht="9.75" customHeight="1" x14ac:dyDescent="0.2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  <c r="Q6" s="71">
        <v>17</v>
      </c>
    </row>
    <row r="7" spans="1:18" ht="21.75" customHeight="1" x14ac:dyDescent="0.2">
      <c r="A7" s="13"/>
      <c r="B7" s="581" t="s">
        <v>195</v>
      </c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</row>
    <row r="8" spans="1:18" ht="34.5" customHeight="1" x14ac:dyDescent="0.2">
      <c r="A8" s="20" t="s">
        <v>72</v>
      </c>
      <c r="B8" s="831" t="s">
        <v>192</v>
      </c>
      <c r="C8" s="831"/>
      <c r="D8" s="831"/>
      <c r="E8" s="831"/>
      <c r="F8" s="831"/>
      <c r="G8" s="831"/>
      <c r="H8" s="831"/>
      <c r="I8" s="831"/>
      <c r="J8" s="831"/>
      <c r="K8" s="831"/>
      <c r="L8" s="831"/>
      <c r="M8" s="831"/>
      <c r="N8" s="831"/>
      <c r="O8" s="831"/>
      <c r="P8" s="831"/>
      <c r="Q8" s="831"/>
      <c r="R8" s="1">
        <v>2016</v>
      </c>
    </row>
    <row r="9" spans="1:18" ht="69.75" customHeight="1" x14ac:dyDescent="0.2">
      <c r="A9" s="93" t="s">
        <v>10</v>
      </c>
      <c r="B9" s="92" t="s">
        <v>170</v>
      </c>
      <c r="C9" s="89" t="s">
        <v>176</v>
      </c>
      <c r="D9" s="88" t="s">
        <v>167</v>
      </c>
      <c r="E9" s="90">
        <v>170</v>
      </c>
      <c r="F9" s="90">
        <v>34</v>
      </c>
      <c r="G9" s="90">
        <v>34</v>
      </c>
      <c r="H9" s="90">
        <v>34</v>
      </c>
      <c r="I9" s="90">
        <v>34</v>
      </c>
      <c r="J9" s="90">
        <v>34</v>
      </c>
      <c r="K9" s="104" t="s">
        <v>193</v>
      </c>
      <c r="L9" s="24">
        <v>20</v>
      </c>
      <c r="M9" s="24">
        <v>20</v>
      </c>
      <c r="N9" s="24">
        <v>20</v>
      </c>
      <c r="O9" s="24">
        <v>20</v>
      </c>
      <c r="P9" s="24">
        <v>20</v>
      </c>
      <c r="Q9" s="86" t="s">
        <v>171</v>
      </c>
      <c r="R9" s="1" t="s">
        <v>299</v>
      </c>
    </row>
    <row r="10" spans="1:18" ht="37.5" customHeight="1" x14ac:dyDescent="0.2">
      <c r="A10" s="838" t="s">
        <v>169</v>
      </c>
      <c r="B10" s="844" t="s">
        <v>168</v>
      </c>
      <c r="C10" s="735" t="s">
        <v>175</v>
      </c>
      <c r="D10" s="642" t="s">
        <v>180</v>
      </c>
      <c r="E10" s="605">
        <v>80</v>
      </c>
      <c r="F10" s="605">
        <v>16</v>
      </c>
      <c r="G10" s="605">
        <v>16</v>
      </c>
      <c r="H10" s="605">
        <v>16</v>
      </c>
      <c r="I10" s="605">
        <v>16</v>
      </c>
      <c r="J10" s="605">
        <v>16</v>
      </c>
      <c r="K10" s="92" t="s">
        <v>173</v>
      </c>
      <c r="L10" s="24">
        <v>7</v>
      </c>
      <c r="M10" s="24">
        <v>8</v>
      </c>
      <c r="N10" s="24">
        <v>9</v>
      </c>
      <c r="O10" s="24">
        <v>9</v>
      </c>
      <c r="P10" s="24">
        <v>10</v>
      </c>
      <c r="Q10" s="582" t="s">
        <v>172</v>
      </c>
      <c r="R10" s="1" t="s">
        <v>299</v>
      </c>
    </row>
    <row r="11" spans="1:18" ht="36" customHeight="1" x14ac:dyDescent="0.2">
      <c r="A11" s="839"/>
      <c r="B11" s="845"/>
      <c r="C11" s="735"/>
      <c r="D11" s="769"/>
      <c r="E11" s="606"/>
      <c r="F11" s="606"/>
      <c r="G11" s="606"/>
      <c r="H11" s="606"/>
      <c r="I11" s="606"/>
      <c r="J11" s="606"/>
      <c r="K11" s="92" t="s">
        <v>174</v>
      </c>
      <c r="L11" s="24">
        <v>550</v>
      </c>
      <c r="M11" s="24">
        <v>555</v>
      </c>
      <c r="N11" s="24">
        <v>560</v>
      </c>
      <c r="O11" s="24">
        <v>570</v>
      </c>
      <c r="P11" s="24">
        <v>580</v>
      </c>
      <c r="Q11" s="678"/>
    </row>
    <row r="12" spans="1:18" ht="48" customHeight="1" x14ac:dyDescent="0.2">
      <c r="A12" s="95" t="s">
        <v>190</v>
      </c>
      <c r="B12" s="100" t="s">
        <v>188</v>
      </c>
      <c r="C12" s="89" t="s">
        <v>191</v>
      </c>
      <c r="D12" s="85" t="s">
        <v>189</v>
      </c>
      <c r="E12" s="83">
        <v>20</v>
      </c>
      <c r="F12" s="83">
        <v>0</v>
      </c>
      <c r="G12" s="83">
        <v>5</v>
      </c>
      <c r="H12" s="83">
        <v>5</v>
      </c>
      <c r="I12" s="83">
        <v>5</v>
      </c>
      <c r="J12" s="83">
        <v>5</v>
      </c>
      <c r="K12" s="92" t="s">
        <v>186</v>
      </c>
      <c r="L12" s="24">
        <v>8</v>
      </c>
      <c r="M12" s="24">
        <v>9</v>
      </c>
      <c r="N12" s="24">
        <v>10</v>
      </c>
      <c r="O12" s="24">
        <v>11</v>
      </c>
      <c r="P12" s="24">
        <v>12</v>
      </c>
      <c r="Q12" s="98" t="s">
        <v>51</v>
      </c>
    </row>
    <row r="13" spans="1:18" ht="34.5" customHeight="1" x14ac:dyDescent="0.2">
      <c r="A13" s="95"/>
      <c r="B13" s="99" t="s">
        <v>166</v>
      </c>
      <c r="C13" s="89"/>
      <c r="D13" s="101"/>
      <c r="E13" s="102">
        <v>270</v>
      </c>
      <c r="F13" s="102">
        <v>50</v>
      </c>
      <c r="G13" s="102">
        <v>55</v>
      </c>
      <c r="H13" s="102">
        <v>55</v>
      </c>
      <c r="I13" s="102">
        <v>55</v>
      </c>
      <c r="J13" s="102">
        <v>55</v>
      </c>
      <c r="K13" s="92"/>
      <c r="L13" s="24"/>
      <c r="M13" s="24"/>
      <c r="N13" s="24"/>
      <c r="O13" s="24"/>
      <c r="P13" s="24"/>
      <c r="Q13" s="98"/>
    </row>
    <row r="14" spans="1:18" ht="14.25" customHeight="1" x14ac:dyDescent="0.2">
      <c r="A14" s="32" t="s">
        <v>24</v>
      </c>
      <c r="B14" s="592" t="s">
        <v>40</v>
      </c>
      <c r="C14" s="593"/>
      <c r="D14" s="593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4"/>
    </row>
    <row r="15" spans="1:18" ht="10.5" customHeight="1" x14ac:dyDescent="0.2">
      <c r="A15" s="838" t="s">
        <v>26</v>
      </c>
      <c r="B15" s="584" t="s">
        <v>184</v>
      </c>
      <c r="C15" s="586" t="s">
        <v>177</v>
      </c>
      <c r="D15" s="777" t="s">
        <v>179</v>
      </c>
      <c r="E15" s="605">
        <v>35</v>
      </c>
      <c r="F15" s="605">
        <v>7</v>
      </c>
      <c r="G15" s="605">
        <v>7</v>
      </c>
      <c r="H15" s="605">
        <v>7</v>
      </c>
      <c r="I15" s="605">
        <v>7</v>
      </c>
      <c r="J15" s="605">
        <v>7</v>
      </c>
      <c r="K15" s="584" t="s">
        <v>183</v>
      </c>
      <c r="L15" s="835">
        <v>4</v>
      </c>
      <c r="M15" s="835">
        <v>5</v>
      </c>
      <c r="N15" s="835">
        <v>6</v>
      </c>
      <c r="O15" s="835">
        <v>7</v>
      </c>
      <c r="P15" s="835">
        <v>8</v>
      </c>
      <c r="Q15" s="582" t="s">
        <v>182</v>
      </c>
      <c r="R15" s="1" t="s">
        <v>298</v>
      </c>
    </row>
    <row r="16" spans="1:18" ht="16.5" customHeight="1" x14ac:dyDescent="0.2">
      <c r="A16" s="841"/>
      <c r="B16" s="644"/>
      <c r="C16" s="842"/>
      <c r="D16" s="840"/>
      <c r="E16" s="609"/>
      <c r="F16" s="609"/>
      <c r="G16" s="609"/>
      <c r="H16" s="609"/>
      <c r="I16" s="609"/>
      <c r="J16" s="609"/>
      <c r="K16" s="644"/>
      <c r="L16" s="836"/>
      <c r="M16" s="836"/>
      <c r="N16" s="836"/>
      <c r="O16" s="836"/>
      <c r="P16" s="836"/>
      <c r="Q16" s="661"/>
    </row>
    <row r="17" spans="1:17" ht="11.25" customHeight="1" x14ac:dyDescent="0.2">
      <c r="A17" s="841"/>
      <c r="B17" s="644"/>
      <c r="C17" s="842"/>
      <c r="D17" s="840"/>
      <c r="E17" s="609"/>
      <c r="F17" s="609"/>
      <c r="G17" s="609"/>
      <c r="H17" s="609"/>
      <c r="I17" s="609"/>
      <c r="J17" s="609"/>
      <c r="K17" s="834"/>
      <c r="L17" s="837"/>
      <c r="M17" s="837"/>
      <c r="N17" s="837"/>
      <c r="O17" s="837"/>
      <c r="P17" s="837"/>
      <c r="Q17" s="661"/>
    </row>
    <row r="18" spans="1:17" ht="45" x14ac:dyDescent="0.2">
      <c r="A18" s="839"/>
      <c r="B18" s="834"/>
      <c r="C18" s="843"/>
      <c r="D18" s="778"/>
      <c r="E18" s="606"/>
      <c r="F18" s="606"/>
      <c r="G18" s="606"/>
      <c r="H18" s="606"/>
      <c r="I18" s="606"/>
      <c r="J18" s="606"/>
      <c r="K18" s="92" t="s">
        <v>187</v>
      </c>
      <c r="L18" s="14">
        <v>450</v>
      </c>
      <c r="M18" s="14">
        <v>455</v>
      </c>
      <c r="N18" s="14">
        <v>460</v>
      </c>
      <c r="O18" s="24">
        <v>465</v>
      </c>
      <c r="P18" s="24">
        <v>470</v>
      </c>
      <c r="Q18" s="678"/>
    </row>
    <row r="19" spans="1:17" ht="46.5" customHeight="1" thickBot="1" x14ac:dyDescent="0.25">
      <c r="A19" s="94" t="s">
        <v>41</v>
      </c>
      <c r="B19" s="103" t="s">
        <v>194</v>
      </c>
      <c r="C19" s="86" t="s">
        <v>178</v>
      </c>
      <c r="D19" s="84" t="s">
        <v>181</v>
      </c>
      <c r="E19" s="82">
        <v>38</v>
      </c>
      <c r="F19" s="82">
        <v>18</v>
      </c>
      <c r="G19" s="82">
        <v>5</v>
      </c>
      <c r="H19" s="91">
        <v>5</v>
      </c>
      <c r="I19" s="91">
        <v>5</v>
      </c>
      <c r="J19" s="91">
        <v>5</v>
      </c>
      <c r="K19" s="23" t="s">
        <v>185</v>
      </c>
      <c r="L19" s="22">
        <v>4</v>
      </c>
      <c r="M19" s="22">
        <v>5</v>
      </c>
      <c r="N19" s="22">
        <v>6</v>
      </c>
      <c r="O19" s="74">
        <v>6</v>
      </c>
      <c r="P19" s="74">
        <v>7</v>
      </c>
      <c r="Q19" s="84" t="s">
        <v>51</v>
      </c>
    </row>
    <row r="20" spans="1:17" ht="6" customHeight="1" x14ac:dyDescent="0.2">
      <c r="A20" s="612"/>
      <c r="B20" s="581" t="s">
        <v>197</v>
      </c>
      <c r="C20" s="613"/>
      <c r="D20" s="832"/>
      <c r="E20" s="829">
        <f>SUM(F20:J21)</f>
        <v>73</v>
      </c>
      <c r="F20" s="829">
        <f>SUM(F15:F19)</f>
        <v>25</v>
      </c>
      <c r="G20" s="829">
        <v>12</v>
      </c>
      <c r="H20" s="827">
        <v>12</v>
      </c>
      <c r="I20" s="827">
        <v>12</v>
      </c>
      <c r="J20" s="827">
        <v>12</v>
      </c>
      <c r="K20" s="846"/>
      <c r="L20" s="612"/>
      <c r="M20" s="612"/>
      <c r="N20" s="612"/>
      <c r="O20" s="612"/>
      <c r="P20" s="612"/>
      <c r="Q20" s="612"/>
    </row>
    <row r="21" spans="1:17" ht="8.25" customHeight="1" thickBot="1" x14ac:dyDescent="0.25">
      <c r="A21" s="612"/>
      <c r="B21" s="581"/>
      <c r="C21" s="613"/>
      <c r="D21" s="833"/>
      <c r="E21" s="830"/>
      <c r="F21" s="830"/>
      <c r="G21" s="830"/>
      <c r="H21" s="828"/>
      <c r="I21" s="828"/>
      <c r="J21" s="828"/>
      <c r="K21" s="846"/>
      <c r="L21" s="612"/>
      <c r="M21" s="612"/>
      <c r="N21" s="612"/>
      <c r="O21" s="612"/>
      <c r="P21" s="612"/>
      <c r="Q21" s="612"/>
    </row>
    <row r="22" spans="1:17" ht="15" customHeight="1" x14ac:dyDescent="0.2">
      <c r="A22" s="613"/>
      <c r="B22" s="817" t="s">
        <v>196</v>
      </c>
      <c r="C22" s="819"/>
      <c r="D22" s="18" t="s">
        <v>11</v>
      </c>
      <c r="E22" s="821">
        <f>SUM(F22:J23)</f>
        <v>343</v>
      </c>
      <c r="F22" s="823">
        <v>75</v>
      </c>
      <c r="G22" s="821">
        <v>67</v>
      </c>
      <c r="H22" s="825">
        <v>67</v>
      </c>
      <c r="I22" s="825">
        <v>67</v>
      </c>
      <c r="J22" s="825">
        <v>67</v>
      </c>
      <c r="K22" s="846"/>
      <c r="L22" s="612"/>
      <c r="M22" s="612"/>
      <c r="N22" s="612"/>
      <c r="O22" s="612"/>
      <c r="P22" s="612"/>
      <c r="Q22" s="612"/>
    </row>
    <row r="23" spans="1:17" ht="21.75" customHeight="1" thickBot="1" x14ac:dyDescent="0.25">
      <c r="A23" s="613"/>
      <c r="B23" s="818"/>
      <c r="C23" s="820"/>
      <c r="D23" s="19" t="s">
        <v>75</v>
      </c>
      <c r="E23" s="822"/>
      <c r="F23" s="824"/>
      <c r="G23" s="822"/>
      <c r="H23" s="826"/>
      <c r="I23" s="826"/>
      <c r="J23" s="826"/>
      <c r="K23" s="846"/>
      <c r="L23" s="612"/>
      <c r="M23" s="612"/>
      <c r="N23" s="612"/>
      <c r="O23" s="612"/>
      <c r="P23" s="612"/>
      <c r="Q23" s="612"/>
    </row>
    <row r="24" spans="1:17" ht="18.75" customHeight="1" x14ac:dyDescent="0.2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8.75" customHeight="1" x14ac:dyDescent="0.2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8.75" customHeight="1" x14ac:dyDescent="0.2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8.75" customHeight="1" x14ac:dyDescent="0.2">
      <c r="A27" s="7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8.75" customHeight="1" x14ac:dyDescent="0.2">
      <c r="A28" s="7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8.75" customHeight="1" x14ac:dyDescent="0.2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8.75" customHeight="1" x14ac:dyDescent="0.2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8.75" customHeight="1" x14ac:dyDescent="0.2">
      <c r="A31" s="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8.75" customHeight="1" x14ac:dyDescent="0.2">
      <c r="A32" s="7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8.75" customHeight="1" x14ac:dyDescent="0.2">
      <c r="A33" s="7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8.75" customHeight="1" x14ac:dyDescent="0.2">
      <c r="A34" s="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8.75" customHeight="1" x14ac:dyDescent="0.2">
      <c r="A35" s="7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8.75" customHeight="1" x14ac:dyDescent="0.2">
      <c r="A36" s="7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8.75" customHeight="1" x14ac:dyDescent="0.2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8.75" customHeight="1" x14ac:dyDescent="0.2">
      <c r="A38" s="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8.75" customHeight="1" x14ac:dyDescent="0.2">
      <c r="A39" s="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8.75" customHeight="1" x14ac:dyDescent="0.2">
      <c r="A40" s="7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t="18.75" customHeight="1" x14ac:dyDescent="0.2">
      <c r="A41" s="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t="18.75" customHeight="1" x14ac:dyDescent="0.2">
      <c r="A42" s="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8.75" customHeight="1" x14ac:dyDescent="0.2">
      <c r="A43" s="7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8.75" customHeight="1" x14ac:dyDescent="0.2">
      <c r="A44" s="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 ht="18.75" customHeight="1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ht="18.75" customHeight="1" x14ac:dyDescent="0.2">
      <c r="A46" s="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1:17" ht="18.75" customHeight="1" x14ac:dyDescent="0.2">
      <c r="A47" s="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17" ht="18.75" customHeight="1" x14ac:dyDescent="0.2">
      <c r="A48" s="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1:17" ht="18.75" customHeight="1" x14ac:dyDescent="0.2">
      <c r="A49" s="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8.75" customHeight="1" x14ac:dyDescent="0.2">
      <c r="A50" s="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ht="18.75" customHeight="1" x14ac:dyDescent="0.2">
      <c r="A51" s="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 ht="18.75" customHeight="1" x14ac:dyDescent="0.2">
      <c r="A52" s="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ht="18.75" customHeight="1" x14ac:dyDescent="0.2">
      <c r="A53" s="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</sheetData>
  <mergeCells count="73">
    <mergeCell ref="I20:I21"/>
    <mergeCell ref="J20:J21"/>
    <mergeCell ref="I22:I23"/>
    <mergeCell ref="J22:J23"/>
    <mergeCell ref="I15:I18"/>
    <mergeCell ref="J15:J18"/>
    <mergeCell ref="O22:O23"/>
    <mergeCell ref="P22:P23"/>
    <mergeCell ref="K22:K23"/>
    <mergeCell ref="L20:L21"/>
    <mergeCell ref="K20:K21"/>
    <mergeCell ref="L22:L23"/>
    <mergeCell ref="M22:M23"/>
    <mergeCell ref="N22:N23"/>
    <mergeCell ref="G1:Q1"/>
    <mergeCell ref="F15:F18"/>
    <mergeCell ref="G15:G18"/>
    <mergeCell ref="H15:H18"/>
    <mergeCell ref="G10:G11"/>
    <mergeCell ref="H10:H11"/>
    <mergeCell ref="F10:F11"/>
    <mergeCell ref="B14:Q14"/>
    <mergeCell ref="I10:I11"/>
    <mergeCell ref="J10:J11"/>
    <mergeCell ref="Q10:Q11"/>
    <mergeCell ref="B10:B11"/>
    <mergeCell ref="C10:C11"/>
    <mergeCell ref="D10:D11"/>
    <mergeCell ref="A2:Q2"/>
    <mergeCell ref="A4:A5"/>
    <mergeCell ref="P15:P17"/>
    <mergeCell ref="A10:A11"/>
    <mergeCell ref="E10:E11"/>
    <mergeCell ref="E15:E18"/>
    <mergeCell ref="D15:D18"/>
    <mergeCell ref="L15:L17"/>
    <mergeCell ref="A15:A18"/>
    <mergeCell ref="C15:C18"/>
    <mergeCell ref="M15:M17"/>
    <mergeCell ref="N15:N17"/>
    <mergeCell ref="B15:B18"/>
    <mergeCell ref="G20:G21"/>
    <mergeCell ref="C4:C5"/>
    <mergeCell ref="D4:D5"/>
    <mergeCell ref="B8:Q8"/>
    <mergeCell ref="E4:J4"/>
    <mergeCell ref="K4:P4"/>
    <mergeCell ref="M20:M21"/>
    <mergeCell ref="N20:N21"/>
    <mergeCell ref="D20:D21"/>
    <mergeCell ref="Q4:Q5"/>
    <mergeCell ref="B4:B5"/>
    <mergeCell ref="B7:Q7"/>
    <mergeCell ref="O20:O21"/>
    <mergeCell ref="Q15:Q18"/>
    <mergeCell ref="K15:K17"/>
    <mergeCell ref="O15:O17"/>
    <mergeCell ref="Q22:Q23"/>
    <mergeCell ref="Q20:Q21"/>
    <mergeCell ref="A22:A23"/>
    <mergeCell ref="B22:B23"/>
    <mergeCell ref="C22:C23"/>
    <mergeCell ref="E22:E23"/>
    <mergeCell ref="F22:F23"/>
    <mergeCell ref="H22:H23"/>
    <mergeCell ref="H20:H21"/>
    <mergeCell ref="G22:G23"/>
    <mergeCell ref="A20:A21"/>
    <mergeCell ref="B20:B21"/>
    <mergeCell ref="C20:C21"/>
    <mergeCell ref="E20:E21"/>
    <mergeCell ref="F20:F21"/>
    <mergeCell ref="P20:P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4"/>
  <sheetViews>
    <sheetView zoomScaleSheetLayoutView="100" workbookViewId="0">
      <pane ySplit="8" topLeftCell="A9" activePane="bottomLeft" state="frozen"/>
      <selection activeCell="R2" sqref="R2"/>
      <selection pane="bottomLeft" activeCell="I35" sqref="A1:XFD1048576"/>
    </sheetView>
  </sheetViews>
  <sheetFormatPr defaultColWidth="19.5703125" defaultRowHeight="18.75" customHeight="1" x14ac:dyDescent="0.2"/>
  <cols>
    <col min="1" max="1" width="4.42578125" style="898" customWidth="1"/>
    <col min="2" max="2" width="22.5703125" style="899" customWidth="1"/>
    <col min="3" max="3" width="6" style="900" customWidth="1"/>
    <col min="4" max="4" width="7.28515625" style="901" customWidth="1"/>
    <col min="5" max="5" width="10" style="901" customWidth="1"/>
    <col min="6" max="7" width="8.28515625" style="901" customWidth="1"/>
    <col min="8" max="11" width="7.85546875" style="901" customWidth="1"/>
    <col min="12" max="12" width="44.5703125" style="904" customWidth="1"/>
    <col min="13" max="18" width="5.140625" style="904" customWidth="1"/>
    <col min="19" max="19" width="17.85546875" style="904" customWidth="1"/>
    <col min="20" max="16384" width="19.5703125" style="904"/>
  </cols>
  <sheetData>
    <row r="1" spans="1:19" ht="6" customHeight="1" x14ac:dyDescent="0.2">
      <c r="L1" s="902"/>
      <c r="M1" s="903" t="s">
        <v>566</v>
      </c>
      <c r="N1" s="903"/>
      <c r="O1" s="903"/>
      <c r="P1" s="903"/>
      <c r="Q1" s="903"/>
      <c r="R1" s="903"/>
      <c r="S1" s="903"/>
    </row>
    <row r="2" spans="1:19" ht="17.45" customHeight="1" x14ac:dyDescent="0.2">
      <c r="H2" s="904"/>
      <c r="I2" s="905"/>
      <c r="J2" s="905"/>
      <c r="K2" s="906"/>
      <c r="L2" s="906"/>
      <c r="M2" s="903"/>
      <c r="N2" s="903"/>
      <c r="O2" s="903"/>
      <c r="P2" s="903"/>
      <c r="Q2" s="903"/>
      <c r="R2" s="903"/>
      <c r="S2" s="903"/>
    </row>
    <row r="3" spans="1:19" ht="13.5" customHeight="1" x14ac:dyDescent="0.2">
      <c r="H3" s="907"/>
      <c r="I3" s="907"/>
      <c r="J3" s="907"/>
      <c r="K3" s="907"/>
      <c r="L3" s="908"/>
      <c r="M3" s="908"/>
      <c r="N3" s="908"/>
      <c r="O3" s="908"/>
      <c r="P3" s="908"/>
      <c r="Q3" s="908"/>
      <c r="R3" s="908"/>
      <c r="S3" s="908"/>
    </row>
    <row r="4" spans="1:19" ht="42.75" customHeight="1" x14ac:dyDescent="0.2">
      <c r="A4" s="909" t="s">
        <v>335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</row>
    <row r="5" spans="1:19" ht="11.25" customHeight="1" x14ac:dyDescent="0.2">
      <c r="S5" s="910"/>
    </row>
    <row r="6" spans="1:19" s="916" customFormat="1" ht="40.5" customHeight="1" x14ac:dyDescent="0.25">
      <c r="A6" s="911" t="s">
        <v>16</v>
      </c>
      <c r="B6" s="912" t="s">
        <v>15</v>
      </c>
      <c r="C6" s="911" t="s">
        <v>8</v>
      </c>
      <c r="D6" s="911" t="s">
        <v>9</v>
      </c>
      <c r="E6" s="913" t="s">
        <v>311</v>
      </c>
      <c r="F6" s="914"/>
      <c r="G6" s="914"/>
      <c r="H6" s="914"/>
      <c r="I6" s="914"/>
      <c r="J6" s="914"/>
      <c r="K6" s="915"/>
      <c r="L6" s="913" t="s">
        <v>17</v>
      </c>
      <c r="M6" s="914"/>
      <c r="N6" s="914"/>
      <c r="O6" s="914"/>
      <c r="P6" s="914"/>
      <c r="Q6" s="914"/>
      <c r="R6" s="915"/>
      <c r="S6" s="912" t="s">
        <v>14</v>
      </c>
    </row>
    <row r="7" spans="1:19" ht="15.75" customHeight="1" x14ac:dyDescent="0.2">
      <c r="A7" s="911"/>
      <c r="B7" s="917"/>
      <c r="C7" s="911"/>
      <c r="D7" s="911"/>
      <c r="E7" s="918" t="s">
        <v>1</v>
      </c>
      <c r="F7" s="918" t="s">
        <v>342</v>
      </c>
      <c r="G7" s="918" t="s">
        <v>343</v>
      </c>
      <c r="H7" s="918" t="s">
        <v>355</v>
      </c>
      <c r="I7" s="918" t="s">
        <v>356</v>
      </c>
      <c r="J7" s="918" t="s">
        <v>357</v>
      </c>
      <c r="K7" s="918" t="s">
        <v>358</v>
      </c>
      <c r="L7" s="918" t="s">
        <v>4</v>
      </c>
      <c r="M7" s="918">
        <v>2019</v>
      </c>
      <c r="N7" s="918">
        <v>2020</v>
      </c>
      <c r="O7" s="918">
        <v>2021</v>
      </c>
      <c r="P7" s="918">
        <v>2022</v>
      </c>
      <c r="Q7" s="918">
        <v>2023</v>
      </c>
      <c r="R7" s="918">
        <v>2024</v>
      </c>
      <c r="S7" s="917"/>
    </row>
    <row r="8" spans="1:19" ht="10.5" customHeight="1" x14ac:dyDescent="0.2">
      <c r="A8" s="919">
        <v>1</v>
      </c>
      <c r="B8" s="919">
        <v>2</v>
      </c>
      <c r="C8" s="919">
        <v>3</v>
      </c>
      <c r="D8" s="919">
        <v>4</v>
      </c>
      <c r="E8" s="919">
        <v>5</v>
      </c>
      <c r="F8" s="919">
        <v>6</v>
      </c>
      <c r="G8" s="919">
        <v>7</v>
      </c>
      <c r="H8" s="919">
        <v>8</v>
      </c>
      <c r="I8" s="919">
        <v>9</v>
      </c>
      <c r="J8" s="919">
        <v>10</v>
      </c>
      <c r="K8" s="919">
        <v>11</v>
      </c>
      <c r="L8" s="919">
        <v>12</v>
      </c>
      <c r="M8" s="919">
        <v>13</v>
      </c>
      <c r="N8" s="919">
        <v>14</v>
      </c>
      <c r="O8" s="919">
        <v>15</v>
      </c>
      <c r="P8" s="919">
        <v>16</v>
      </c>
      <c r="Q8" s="919">
        <v>17</v>
      </c>
      <c r="R8" s="919">
        <v>18</v>
      </c>
      <c r="S8" s="919">
        <v>19</v>
      </c>
    </row>
    <row r="9" spans="1:19" ht="13.5" customHeight="1" x14ac:dyDescent="0.2">
      <c r="A9" s="920"/>
      <c r="B9" s="921" t="s">
        <v>388</v>
      </c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</row>
    <row r="10" spans="1:19" ht="19.5" customHeight="1" x14ac:dyDescent="0.2">
      <c r="A10" s="922" t="s">
        <v>72</v>
      </c>
      <c r="B10" s="923" t="s">
        <v>333</v>
      </c>
      <c r="C10" s="923"/>
      <c r="D10" s="924"/>
      <c r="E10" s="924"/>
      <c r="F10" s="924"/>
      <c r="G10" s="924"/>
      <c r="H10" s="924"/>
      <c r="I10" s="924"/>
      <c r="J10" s="924"/>
      <c r="K10" s="924"/>
      <c r="L10" s="923"/>
      <c r="M10" s="923"/>
      <c r="N10" s="923"/>
      <c r="O10" s="923"/>
      <c r="P10" s="923"/>
      <c r="Q10" s="923"/>
      <c r="R10" s="923"/>
      <c r="S10" s="925"/>
    </row>
    <row r="11" spans="1:19" ht="21" customHeight="1" x14ac:dyDescent="0.2">
      <c r="A11" s="926" t="s">
        <v>10</v>
      </c>
      <c r="B11" s="556" t="s">
        <v>312</v>
      </c>
      <c r="C11" s="927" t="s">
        <v>427</v>
      </c>
      <c r="D11" s="928" t="s">
        <v>337</v>
      </c>
      <c r="E11" s="929">
        <f>F11+G11+H11+I11+J11+K11</f>
        <v>64894.729999999996</v>
      </c>
      <c r="F11" s="929">
        <f t="shared" ref="F11:K11" si="0">F13+F12</f>
        <v>11513.6</v>
      </c>
      <c r="G11" s="929">
        <f>G13+G12</f>
        <v>10721.37</v>
      </c>
      <c r="H11" s="929">
        <f t="shared" si="0"/>
        <v>10465.74</v>
      </c>
      <c r="I11" s="929">
        <f t="shared" si="0"/>
        <v>11131.409999999998</v>
      </c>
      <c r="J11" s="929">
        <f t="shared" si="0"/>
        <v>10339.25</v>
      </c>
      <c r="K11" s="929">
        <f t="shared" si="0"/>
        <v>10723.36</v>
      </c>
      <c r="L11" s="930" t="s">
        <v>362</v>
      </c>
      <c r="M11" s="931">
        <v>95</v>
      </c>
      <c r="N11" s="931">
        <v>95</v>
      </c>
      <c r="O11" s="931">
        <v>95</v>
      </c>
      <c r="P11" s="931">
        <v>95</v>
      </c>
      <c r="Q11" s="931">
        <v>95</v>
      </c>
      <c r="R11" s="931">
        <v>95</v>
      </c>
      <c r="S11" s="528" t="s">
        <v>336</v>
      </c>
    </row>
    <row r="12" spans="1:19" ht="32.25" customHeight="1" x14ac:dyDescent="0.2">
      <c r="A12" s="932"/>
      <c r="B12" s="557"/>
      <c r="C12" s="933"/>
      <c r="D12" s="934" t="s">
        <v>5</v>
      </c>
      <c r="E12" s="935">
        <f>F12+G12+H12+I12+J12+K12</f>
        <v>64894.729999999996</v>
      </c>
      <c r="F12" s="936">
        <f>11513.6</f>
        <v>11513.6</v>
      </c>
      <c r="G12" s="937">
        <f>9506.67+1058.27+23.43+133</f>
        <v>10721.37</v>
      </c>
      <c r="H12" s="937">
        <f>11885.58-1646.17+226.33</f>
        <v>10465.74</v>
      </c>
      <c r="I12" s="937">
        <f>10237.14+50+511.66+166.38-5.8+80-80-88.37+260.4</f>
        <v>11131.409999999998</v>
      </c>
      <c r="J12" s="937">
        <v>10339.25</v>
      </c>
      <c r="K12" s="937">
        <v>10723.36</v>
      </c>
      <c r="L12" s="930" t="s">
        <v>363</v>
      </c>
      <c r="M12" s="931">
        <v>100</v>
      </c>
      <c r="N12" s="931">
        <v>100</v>
      </c>
      <c r="O12" s="931">
        <v>100</v>
      </c>
      <c r="P12" s="931">
        <v>100</v>
      </c>
      <c r="Q12" s="931">
        <v>100</v>
      </c>
      <c r="R12" s="931">
        <v>100</v>
      </c>
      <c r="S12" s="938"/>
    </row>
    <row r="13" spans="1:19" ht="25.5" customHeight="1" x14ac:dyDescent="0.2">
      <c r="A13" s="932"/>
      <c r="B13" s="557"/>
      <c r="C13" s="933"/>
      <c r="D13" s="939" t="s">
        <v>6</v>
      </c>
      <c r="E13" s="935">
        <f>F13+G13+H13+I13</f>
        <v>0</v>
      </c>
      <c r="F13" s="936">
        <v>0</v>
      </c>
      <c r="G13" s="937">
        <v>0</v>
      </c>
      <c r="H13" s="937">
        <v>0</v>
      </c>
      <c r="I13" s="936">
        <v>0</v>
      </c>
      <c r="J13" s="936">
        <v>0</v>
      </c>
      <c r="K13" s="936">
        <v>0</v>
      </c>
      <c r="L13" s="940" t="s">
        <v>364</v>
      </c>
      <c r="M13" s="941">
        <v>100</v>
      </c>
      <c r="N13" s="941">
        <v>100</v>
      </c>
      <c r="O13" s="941">
        <v>100</v>
      </c>
      <c r="P13" s="941">
        <v>100</v>
      </c>
      <c r="Q13" s="941">
        <v>100</v>
      </c>
      <c r="R13" s="941">
        <v>100</v>
      </c>
      <c r="S13" s="938"/>
    </row>
    <row r="14" spans="1:19" ht="45" customHeight="1" x14ac:dyDescent="0.2">
      <c r="A14" s="932"/>
      <c r="B14" s="557"/>
      <c r="C14" s="933"/>
      <c r="D14" s="942"/>
      <c r="E14" s="943"/>
      <c r="F14" s="944"/>
      <c r="G14" s="945"/>
      <c r="H14" s="946"/>
      <c r="I14" s="945"/>
      <c r="J14" s="944"/>
      <c r="K14" s="944"/>
      <c r="L14" s="947" t="s">
        <v>360</v>
      </c>
      <c r="M14" s="948">
        <v>60</v>
      </c>
      <c r="N14" s="948">
        <v>75</v>
      </c>
      <c r="O14" s="948">
        <v>85</v>
      </c>
      <c r="P14" s="948">
        <v>95</v>
      </c>
      <c r="Q14" s="948">
        <v>98</v>
      </c>
      <c r="R14" s="948">
        <v>98</v>
      </c>
      <c r="S14" s="938"/>
    </row>
    <row r="15" spans="1:19" ht="24.75" hidden="1" customHeight="1" x14ac:dyDescent="0.2">
      <c r="A15" s="932"/>
      <c r="B15" s="557"/>
      <c r="C15" s="933"/>
      <c r="D15" s="939"/>
      <c r="E15" s="949"/>
      <c r="F15" s="950"/>
      <c r="G15" s="949"/>
      <c r="H15" s="949"/>
      <c r="I15" s="949"/>
      <c r="J15" s="949"/>
      <c r="K15" s="951"/>
      <c r="L15" s="952"/>
      <c r="M15" s="953"/>
      <c r="N15" s="953"/>
      <c r="O15" s="953"/>
      <c r="P15" s="953"/>
      <c r="Q15" s="953"/>
      <c r="R15" s="953"/>
      <c r="S15" s="938"/>
    </row>
    <row r="16" spans="1:19" ht="48.75" hidden="1" customHeight="1" x14ac:dyDescent="0.2">
      <c r="A16" s="932"/>
      <c r="B16" s="557"/>
      <c r="C16" s="933"/>
      <c r="D16" s="939"/>
      <c r="E16" s="949"/>
      <c r="F16" s="950"/>
      <c r="G16" s="949"/>
      <c r="H16" s="949"/>
      <c r="I16" s="949"/>
      <c r="J16" s="949"/>
      <c r="K16" s="951"/>
      <c r="M16" s="954"/>
      <c r="N16" s="954"/>
      <c r="O16" s="954"/>
      <c r="P16" s="954"/>
      <c r="Q16" s="954"/>
      <c r="R16" s="954"/>
      <c r="S16" s="938"/>
    </row>
    <row r="17" spans="1:19" ht="24" hidden="1" customHeight="1" x14ac:dyDescent="0.2">
      <c r="A17" s="932"/>
      <c r="B17" s="557"/>
      <c r="C17" s="933"/>
      <c r="D17" s="939"/>
      <c r="E17" s="949"/>
      <c r="F17" s="950"/>
      <c r="G17" s="949"/>
      <c r="H17" s="949"/>
      <c r="I17" s="949"/>
      <c r="J17" s="949"/>
      <c r="K17" s="950"/>
      <c r="L17" s="940" t="s">
        <v>313</v>
      </c>
      <c r="M17" s="955">
        <v>1</v>
      </c>
      <c r="N17" s="955">
        <v>1</v>
      </c>
      <c r="O17" s="955">
        <v>1</v>
      </c>
      <c r="P17" s="955">
        <v>1</v>
      </c>
      <c r="Q17" s="955">
        <v>1</v>
      </c>
      <c r="R17" s="955">
        <v>1</v>
      </c>
      <c r="S17" s="938"/>
    </row>
    <row r="18" spans="1:19" ht="37.5" hidden="1" customHeight="1" thickBot="1" x14ac:dyDescent="0.25">
      <c r="A18" s="932"/>
      <c r="B18" s="557"/>
      <c r="C18" s="933"/>
      <c r="D18" s="956"/>
      <c r="E18" s="949"/>
      <c r="F18" s="949"/>
      <c r="G18" s="949"/>
      <c r="H18" s="949"/>
      <c r="I18" s="949"/>
      <c r="J18" s="949"/>
      <c r="K18" s="951"/>
      <c r="S18" s="933"/>
    </row>
    <row r="19" spans="1:19" ht="47.25" hidden="1" customHeight="1" x14ac:dyDescent="0.2">
      <c r="A19" s="932"/>
      <c r="B19" s="557"/>
      <c r="C19" s="933"/>
      <c r="D19" s="957"/>
      <c r="E19" s="945"/>
      <c r="F19" s="945"/>
      <c r="G19" s="945"/>
      <c r="H19" s="945"/>
      <c r="I19" s="945"/>
      <c r="J19" s="945"/>
      <c r="K19" s="946"/>
      <c r="S19" s="933"/>
    </row>
    <row r="20" spans="1:19" ht="24" hidden="1" customHeight="1" x14ac:dyDescent="0.2">
      <c r="A20" s="932"/>
      <c r="B20" s="557"/>
      <c r="C20" s="933"/>
      <c r="D20" s="957"/>
      <c r="E20" s="945"/>
      <c r="F20" s="945"/>
      <c r="G20" s="945"/>
      <c r="H20" s="945"/>
      <c r="I20" s="945"/>
      <c r="J20" s="945"/>
      <c r="K20" s="946"/>
      <c r="S20" s="933"/>
    </row>
    <row r="21" spans="1:19" ht="19.5" customHeight="1" x14ac:dyDescent="0.2">
      <c r="A21" s="922" t="s">
        <v>24</v>
      </c>
      <c r="B21" s="958" t="s">
        <v>429</v>
      </c>
      <c r="C21" s="923"/>
      <c r="D21" s="923"/>
      <c r="E21" s="923"/>
      <c r="F21" s="923"/>
      <c r="G21" s="923"/>
      <c r="H21" s="923"/>
      <c r="I21" s="923"/>
      <c r="J21" s="923"/>
      <c r="K21" s="923"/>
      <c r="L21" s="923"/>
      <c r="M21" s="923"/>
      <c r="N21" s="923"/>
      <c r="O21" s="923"/>
      <c r="P21" s="923"/>
      <c r="Q21" s="923"/>
      <c r="R21" s="923"/>
      <c r="S21" s="925"/>
    </row>
    <row r="22" spans="1:19" ht="21.75" customHeight="1" x14ac:dyDescent="0.2">
      <c r="A22" s="926" t="s">
        <v>26</v>
      </c>
      <c r="B22" s="556" t="s">
        <v>428</v>
      </c>
      <c r="C22" s="927" t="s">
        <v>426</v>
      </c>
      <c r="D22" s="928" t="s">
        <v>337</v>
      </c>
      <c r="E22" s="929">
        <f t="shared" ref="E22:K22" si="1">E23+E24</f>
        <v>5548.630000000001</v>
      </c>
      <c r="F22" s="929">
        <f t="shared" si="1"/>
        <v>0</v>
      </c>
      <c r="G22" s="929">
        <f t="shared" si="1"/>
        <v>785.11</v>
      </c>
      <c r="H22" s="929">
        <f t="shared" si="1"/>
        <v>1079.71</v>
      </c>
      <c r="I22" s="929">
        <f t="shared" si="1"/>
        <v>859.84</v>
      </c>
      <c r="J22" s="929">
        <f t="shared" si="1"/>
        <v>1391.53</v>
      </c>
      <c r="K22" s="929">
        <f t="shared" si="1"/>
        <v>1432.44</v>
      </c>
      <c r="L22" s="531" t="s">
        <v>430</v>
      </c>
      <c r="M22" s="491">
        <v>0</v>
      </c>
      <c r="N22" s="491">
        <v>100</v>
      </c>
      <c r="O22" s="491">
        <v>100</v>
      </c>
      <c r="P22" s="491">
        <v>100</v>
      </c>
      <c r="Q22" s="491">
        <v>100</v>
      </c>
      <c r="R22" s="491">
        <v>100</v>
      </c>
      <c r="S22" s="528" t="s">
        <v>336</v>
      </c>
    </row>
    <row r="23" spans="1:19" ht="14.45" customHeight="1" x14ac:dyDescent="0.2">
      <c r="A23" s="932"/>
      <c r="B23" s="557"/>
      <c r="C23" s="933"/>
      <c r="D23" s="934" t="s">
        <v>5</v>
      </c>
      <c r="E23" s="935">
        <f>SUM(F23:K23)</f>
        <v>5548.630000000001</v>
      </c>
      <c r="F23" s="936">
        <v>0</v>
      </c>
      <c r="G23" s="937">
        <v>785.11</v>
      </c>
      <c r="H23" s="937">
        <f>1306.04-226.33</f>
        <v>1079.71</v>
      </c>
      <c r="I23" s="937">
        <f>1363.71-503.87</f>
        <v>859.84</v>
      </c>
      <c r="J23" s="937">
        <v>1391.53</v>
      </c>
      <c r="K23" s="937">
        <v>1432.44</v>
      </c>
      <c r="L23" s="532"/>
      <c r="M23" s="492"/>
      <c r="N23" s="492"/>
      <c r="O23" s="492"/>
      <c r="P23" s="492"/>
      <c r="Q23" s="492"/>
      <c r="R23" s="492"/>
      <c r="S23" s="938"/>
    </row>
    <row r="24" spans="1:19" ht="31.5" customHeight="1" thickBot="1" x14ac:dyDescent="0.25">
      <c r="A24" s="959"/>
      <c r="B24" s="558"/>
      <c r="C24" s="960"/>
      <c r="D24" s="939" t="s">
        <v>6</v>
      </c>
      <c r="E24" s="935">
        <f>SUM(F24:K24)</f>
        <v>0</v>
      </c>
      <c r="F24" s="936">
        <v>0</v>
      </c>
      <c r="G24" s="937">
        <v>0</v>
      </c>
      <c r="H24" s="937">
        <v>0</v>
      </c>
      <c r="I24" s="936">
        <v>0</v>
      </c>
      <c r="J24" s="936">
        <v>0</v>
      </c>
      <c r="K24" s="937">
        <v>0</v>
      </c>
      <c r="L24" s="533"/>
      <c r="M24" s="493"/>
      <c r="N24" s="493"/>
      <c r="O24" s="493"/>
      <c r="P24" s="493"/>
      <c r="Q24" s="493"/>
      <c r="R24" s="493"/>
      <c r="S24" s="961"/>
    </row>
    <row r="25" spans="1:19" s="970" customFormat="1" ht="13.5" customHeight="1" x14ac:dyDescent="0.2">
      <c r="A25" s="962"/>
      <c r="B25" s="963" t="s">
        <v>339</v>
      </c>
      <c r="C25" s="964"/>
      <c r="D25" s="965" t="s">
        <v>338</v>
      </c>
      <c r="E25" s="966">
        <f>SUM(F25:K26)</f>
        <v>70443.360000000001</v>
      </c>
      <c r="F25" s="966">
        <f t="shared" ref="F25:K25" si="2">F33+F34</f>
        <v>11513.6</v>
      </c>
      <c r="G25" s="966">
        <f>G33+G34</f>
        <v>11506.480000000001</v>
      </c>
      <c r="H25" s="966">
        <f t="shared" si="2"/>
        <v>11545.45</v>
      </c>
      <c r="I25" s="966">
        <f t="shared" si="2"/>
        <v>11991.249999999998</v>
      </c>
      <c r="J25" s="966">
        <f t="shared" si="2"/>
        <v>11730.78</v>
      </c>
      <c r="K25" s="967">
        <f t="shared" si="2"/>
        <v>12155.800000000001</v>
      </c>
      <c r="L25" s="968"/>
      <c r="M25" s="968"/>
      <c r="N25" s="968"/>
      <c r="O25" s="968"/>
      <c r="P25" s="968"/>
      <c r="Q25" s="969"/>
      <c r="R25" s="969"/>
      <c r="S25" s="968"/>
    </row>
    <row r="26" spans="1:19" s="970" customFormat="1" ht="0.75" customHeight="1" x14ac:dyDescent="0.2">
      <c r="A26" s="971"/>
      <c r="B26" s="972"/>
      <c r="C26" s="973"/>
      <c r="D26" s="974"/>
      <c r="E26" s="975"/>
      <c r="F26" s="975"/>
      <c r="G26" s="975"/>
      <c r="H26" s="975"/>
      <c r="I26" s="975"/>
      <c r="J26" s="975"/>
      <c r="K26" s="976"/>
      <c r="L26" s="977"/>
      <c r="M26" s="977"/>
      <c r="N26" s="977"/>
      <c r="O26" s="977"/>
      <c r="P26" s="977"/>
      <c r="Q26" s="978"/>
      <c r="R26" s="978"/>
      <c r="S26" s="977"/>
    </row>
    <row r="27" spans="1:19" ht="15.75" hidden="1" customHeight="1" x14ac:dyDescent="0.25">
      <c r="A27" s="979"/>
      <c r="B27" s="980"/>
      <c r="C27" s="981"/>
      <c r="D27" s="982" t="s">
        <v>314</v>
      </c>
      <c r="E27" s="983"/>
      <c r="F27" s="983"/>
      <c r="G27" s="983"/>
      <c r="H27" s="983"/>
      <c r="I27" s="983"/>
      <c r="J27" s="983"/>
      <c r="K27" s="984"/>
      <c r="L27" s="985"/>
      <c r="M27" s="985"/>
      <c r="N27" s="985"/>
      <c r="O27" s="985"/>
      <c r="P27" s="985"/>
      <c r="Q27" s="986"/>
      <c r="R27" s="986"/>
      <c r="S27" s="985"/>
    </row>
    <row r="28" spans="1:19" ht="15.75" hidden="1" customHeight="1" x14ac:dyDescent="0.25">
      <c r="A28" s="979"/>
      <c r="B28" s="980"/>
      <c r="C28" s="981"/>
      <c r="D28" s="982" t="s">
        <v>314</v>
      </c>
      <c r="E28" s="983"/>
      <c r="F28" s="983"/>
      <c r="G28" s="983"/>
      <c r="H28" s="983"/>
      <c r="I28" s="983"/>
      <c r="J28" s="983"/>
      <c r="K28" s="984"/>
      <c r="L28" s="985"/>
      <c r="M28" s="985"/>
      <c r="N28" s="985"/>
      <c r="O28" s="985"/>
      <c r="P28" s="985"/>
      <c r="Q28" s="986"/>
      <c r="R28" s="986"/>
      <c r="S28" s="985"/>
    </row>
    <row r="29" spans="1:19" ht="18" hidden="1" customHeight="1" x14ac:dyDescent="0.25">
      <c r="A29" s="979"/>
      <c r="B29" s="980"/>
      <c r="C29" s="981"/>
      <c r="D29" s="982" t="s">
        <v>314</v>
      </c>
      <c r="E29" s="983"/>
      <c r="F29" s="983"/>
      <c r="G29" s="983"/>
      <c r="H29" s="983"/>
      <c r="I29" s="983"/>
      <c r="J29" s="983"/>
      <c r="K29" s="984"/>
      <c r="L29" s="985"/>
      <c r="M29" s="985"/>
      <c r="N29" s="985"/>
      <c r="O29" s="985"/>
      <c r="P29" s="985"/>
      <c r="Q29" s="986"/>
      <c r="R29" s="986"/>
      <c r="S29" s="985"/>
    </row>
    <row r="30" spans="1:19" ht="27.75" hidden="1" customHeight="1" x14ac:dyDescent="0.25">
      <c r="A30" s="979"/>
      <c r="B30" s="980"/>
      <c r="C30" s="981"/>
      <c r="D30" s="982" t="s">
        <v>314</v>
      </c>
      <c r="E30" s="983"/>
      <c r="F30" s="983"/>
      <c r="G30" s="983"/>
      <c r="H30" s="983"/>
      <c r="I30" s="983"/>
      <c r="J30" s="983"/>
      <c r="K30" s="984"/>
      <c r="L30" s="985"/>
      <c r="M30" s="985"/>
      <c r="N30" s="985"/>
      <c r="O30" s="985"/>
      <c r="P30" s="985"/>
      <c r="Q30" s="986"/>
      <c r="R30" s="986"/>
      <c r="S30" s="985"/>
    </row>
    <row r="31" spans="1:19" ht="18" hidden="1" customHeight="1" x14ac:dyDescent="0.25">
      <c r="A31" s="979"/>
      <c r="B31" s="980"/>
      <c r="C31" s="981"/>
      <c r="D31" s="982" t="s">
        <v>314</v>
      </c>
      <c r="E31" s="983"/>
      <c r="F31" s="983"/>
      <c r="G31" s="983"/>
      <c r="H31" s="983"/>
      <c r="I31" s="983"/>
      <c r="J31" s="983"/>
      <c r="K31" s="984"/>
      <c r="L31" s="985"/>
      <c r="M31" s="985"/>
      <c r="N31" s="985"/>
      <c r="O31" s="985"/>
      <c r="P31" s="985"/>
      <c r="Q31" s="986"/>
      <c r="R31" s="986"/>
      <c r="S31" s="985"/>
    </row>
    <row r="32" spans="1:19" ht="21.75" hidden="1" customHeight="1" x14ac:dyDescent="0.25">
      <c r="A32" s="979"/>
      <c r="B32" s="980"/>
      <c r="C32" s="981"/>
      <c r="D32" s="982" t="s">
        <v>314</v>
      </c>
      <c r="E32" s="983"/>
      <c r="F32" s="983"/>
      <c r="G32" s="983"/>
      <c r="H32" s="983"/>
      <c r="I32" s="983"/>
      <c r="J32" s="983"/>
      <c r="K32" s="984"/>
      <c r="L32" s="985"/>
      <c r="M32" s="985"/>
      <c r="N32" s="985"/>
      <c r="O32" s="985"/>
      <c r="P32" s="985"/>
      <c r="Q32" s="986"/>
      <c r="R32" s="986"/>
      <c r="S32" s="985"/>
    </row>
    <row r="33" spans="1:19" ht="15" customHeight="1" x14ac:dyDescent="0.25">
      <c r="A33" s="979"/>
      <c r="B33" s="980"/>
      <c r="C33" s="981"/>
      <c r="D33" s="987" t="s">
        <v>5</v>
      </c>
      <c r="E33" s="988">
        <f>F33+G33+H33+I33+J33+K33</f>
        <v>70443.360000000001</v>
      </c>
      <c r="F33" s="988">
        <f>F12</f>
        <v>11513.6</v>
      </c>
      <c r="G33" s="988">
        <f>G12+G23</f>
        <v>11506.480000000001</v>
      </c>
      <c r="H33" s="988">
        <f>H12+H23</f>
        <v>11545.45</v>
      </c>
      <c r="I33" s="988">
        <f>I12+I23</f>
        <v>11991.249999999998</v>
      </c>
      <c r="J33" s="988">
        <f>J12+J23</f>
        <v>11730.78</v>
      </c>
      <c r="K33" s="989">
        <f>K12+K23</f>
        <v>12155.800000000001</v>
      </c>
      <c r="L33" s="985"/>
      <c r="M33" s="985"/>
      <c r="N33" s="985"/>
      <c r="O33" s="985"/>
      <c r="P33" s="985"/>
      <c r="Q33" s="986"/>
      <c r="R33" s="986"/>
      <c r="S33" s="985"/>
    </row>
    <row r="34" spans="1:19" ht="15" customHeight="1" thickBot="1" x14ac:dyDescent="0.3">
      <c r="A34" s="990"/>
      <c r="B34" s="991"/>
      <c r="C34" s="992"/>
      <c r="D34" s="993" t="s">
        <v>6</v>
      </c>
      <c r="E34" s="994">
        <f>F34+G34+H34+I34+J34+K34</f>
        <v>0</v>
      </c>
      <c r="F34" s="994">
        <f t="shared" ref="F34:K34" si="3">F13</f>
        <v>0</v>
      </c>
      <c r="G34" s="994">
        <f t="shared" si="3"/>
        <v>0</v>
      </c>
      <c r="H34" s="994">
        <f t="shared" si="3"/>
        <v>0</v>
      </c>
      <c r="I34" s="994">
        <f t="shared" si="3"/>
        <v>0</v>
      </c>
      <c r="J34" s="994">
        <f t="shared" si="3"/>
        <v>0</v>
      </c>
      <c r="K34" s="995">
        <f t="shared" si="3"/>
        <v>0</v>
      </c>
      <c r="L34" s="996"/>
      <c r="M34" s="996"/>
      <c r="N34" s="996"/>
      <c r="O34" s="996"/>
      <c r="P34" s="996"/>
      <c r="Q34" s="997"/>
      <c r="R34" s="997"/>
      <c r="S34" s="996"/>
    </row>
  </sheetData>
  <mergeCells count="56">
    <mergeCell ref="S22:S24"/>
    <mergeCell ref="A11:A17"/>
    <mergeCell ref="B11:B17"/>
    <mergeCell ref="C11:C17"/>
    <mergeCell ref="B21:S21"/>
    <mergeCell ref="L14:L15"/>
    <mergeCell ref="R22:R24"/>
    <mergeCell ref="B22:B24"/>
    <mergeCell ref="A4:S4"/>
    <mergeCell ref="A6:A7"/>
    <mergeCell ref="B6:B7"/>
    <mergeCell ref="L3:S3"/>
    <mergeCell ref="S6:S7"/>
    <mergeCell ref="C6:C7"/>
    <mergeCell ref="D6:D7"/>
    <mergeCell ref="E6:K6"/>
    <mergeCell ref="L6:R6"/>
    <mergeCell ref="M1:S2"/>
    <mergeCell ref="B10:S10"/>
    <mergeCell ref="H25:H26"/>
    <mergeCell ref="M14:M15"/>
    <mergeCell ref="N14:N15"/>
    <mergeCell ref="O14:O15"/>
    <mergeCell ref="P14:P15"/>
    <mergeCell ref="Q14:Q15"/>
    <mergeCell ref="R14:R15"/>
    <mergeCell ref="C22:C24"/>
    <mergeCell ref="S11:S17"/>
    <mergeCell ref="D25:D26"/>
    <mergeCell ref="E25:E26"/>
    <mergeCell ref="N22:N24"/>
    <mergeCell ref="O22:O24"/>
    <mergeCell ref="P22:P24"/>
    <mergeCell ref="A25:A34"/>
    <mergeCell ref="B25:B34"/>
    <mergeCell ref="C25:C34"/>
    <mergeCell ref="A18:A20"/>
    <mergeCell ref="B18:B20"/>
    <mergeCell ref="C18:C20"/>
    <mergeCell ref="A22:A24"/>
    <mergeCell ref="B9:S9"/>
    <mergeCell ref="S18:S20"/>
    <mergeCell ref="N25:N34"/>
    <mergeCell ref="O25:O34"/>
    <mergeCell ref="I25:I26"/>
    <mergeCell ref="P25:P34"/>
    <mergeCell ref="S25:S34"/>
    <mergeCell ref="J25:J26"/>
    <mergeCell ref="M25:M34"/>
    <mergeCell ref="Q22:Q24"/>
    <mergeCell ref="F25:F26"/>
    <mergeCell ref="L25:L34"/>
    <mergeCell ref="K25:K26"/>
    <mergeCell ref="G25:G26"/>
    <mergeCell ref="L22:L24"/>
    <mergeCell ref="M22:M24"/>
  </mergeCells>
  <printOptions horizontalCentered="1"/>
  <pageMargins left="0.19685039370078741" right="0.19685039370078741" top="0.78740157480314965" bottom="0.19685039370078741" header="0" footer="0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ВСЕГО по РО</vt:lpstr>
      <vt:lpstr>ИТОГО по РО</vt:lpstr>
      <vt:lpstr>Модернизация</vt:lpstr>
      <vt:lpstr>мм</vt:lpstr>
      <vt:lpstr>Молодежная политика</vt:lpstr>
      <vt:lpstr>молодежь</vt:lpstr>
      <vt:lpstr> отдых</vt:lpstr>
      <vt:lpstr>профилактика</vt:lpstr>
      <vt:lpstr>МИТО</vt:lpstr>
      <vt:lpstr>Стр.2 модернизация (2)</vt:lpstr>
      <vt:lpstr>Лист1</vt:lpstr>
      <vt:lpstr>' отдых'!Заголовки_для_печати</vt:lpstr>
      <vt:lpstr>МИТО!Заголовки_для_печати</vt:lpstr>
      <vt:lpstr>мм!Заголовки_для_печати</vt:lpstr>
      <vt:lpstr>Модернизация!Заголовки_для_печати</vt:lpstr>
      <vt:lpstr>'Молодежная политика'!Заголовки_для_печати</vt:lpstr>
      <vt:lpstr>молодежь!Заголовки_для_печати</vt:lpstr>
      <vt:lpstr>профилактика!Заголовки_для_печати</vt:lpstr>
      <vt:lpstr>'Стр.2 модернизация (2)'!Заголовки_для_печати</vt:lpstr>
      <vt:lpstr>'ВСЕГО по РО'!Область_печати</vt:lpstr>
      <vt:lpstr>'ИТОГО по РО'!Область_печати</vt:lpstr>
      <vt:lpstr>мм!Область_печати</vt:lpstr>
      <vt:lpstr>Модернизация!Область_печати</vt:lpstr>
      <vt:lpstr>'Молодежная политика'!Область_печати</vt:lpstr>
      <vt:lpstr>'Стр.2 модернизация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2023-01-19T08:29:40Z</dcterms:modified>
</cp:coreProperties>
</file>