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8" windowWidth="15120" windowHeight="7956" activeTab="0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РО'!$A$1:$K$36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'Модернизация'!$A$1:$S$73</definedName>
    <definedName name="_xlnm.Print_Area" localSheetId="4">'Молодежная политика'!$A$1:$S$60</definedName>
    <definedName name="_xlnm.Print_Area" localSheetId="11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<sst xmlns="http://schemas.openxmlformats.org/spreadsheetml/2006/main" count="1996" uniqueCount="532">
  <si>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</si>
  <si>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</si>
  <si>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</si>
  <si>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</si>
  <si>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</si>
  <si>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</si>
  <si>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</si>
  <si>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</si>
  <si>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</si>
  <si>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</si>
  <si>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</si>
  <si>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</si>
  <si>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</si>
  <si>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</si>
  <si>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</si>
  <si>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</si>
  <si>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</si>
  <si>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</si>
  <si>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</si>
  <si>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</si>
  <si>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</si>
  <si>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</si>
  <si>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</si>
  <si>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</si>
  <si>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</si>
  <si>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</si>
  <si>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</si>
  <si>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</si>
  <si>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</si>
  <si>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</si>
  <si>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</si>
  <si>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</si>
  <si>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</si>
  <si>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</si>
  <si>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</si>
  <si>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</si>
  <si>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</si>
  <si>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</si>
  <si>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</si>
  <si>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</si>
  <si>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</si>
  <si>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</si>
  <si>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</si>
  <si>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</si>
  <si>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</si>
  <si>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</si>
  <si>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</si>
  <si>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</si>
  <si>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</si>
  <si>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</si>
  <si>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</si>
  <si>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</si>
  <si>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</si>
  <si>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</si>
  <si>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</si>
  <si>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</si>
  <si>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</si>
  <si>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</si>
  <si>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</si>
  <si>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</si>
  <si>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</si>
  <si>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</si>
  <si>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</si>
  <si>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</si>
  <si>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</si>
  <si>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</si>
  <si>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</si>
  <si>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</si>
  <si>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</si>
  <si>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</si>
  <si>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</si>
  <si>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</si>
  <si>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</si>
  <si>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</si>
  <si>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</si>
  <si>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</si>
  <si>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</si>
  <si>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</si>
  <si>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</si>
  <si>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</si>
  <si>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</si>
  <si>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</si>
  <si>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</si>
  <si>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</si>
  <si>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</si>
  <si>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</si>
  <si>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</si>
  <si>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</si>
  <si>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</si>
  <si>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</si>
  <si>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</si>
  <si>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</si>
  <si>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</si>
  <si>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</si>
  <si>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</si>
  <si>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</si>
  <si>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</si>
  <si>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</si>
  <si>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</si>
  <si>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</si>
  <si>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</si>
  <si>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</si>
  <si>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</si>
  <si>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</si>
  <si>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</si>
  <si>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</si>
  <si>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</si>
  <si>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</si>
  <si>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</si>
  <si>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</si>
  <si>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</si>
  <si>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</si>
  <si>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</si>
  <si>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</si>
  <si>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</si>
  <si>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</si>
  <si>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</si>
  <si>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</si>
  <si>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</si>
  <si>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</si>
  <si>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</si>
  <si>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</si>
  <si>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</si>
  <si>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</si>
  <si>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</si>
  <si>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</si>
  <si>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</si>
  <si>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</si>
  <si>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</si>
  <si>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</si>
  <si>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</si>
  <si>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</si>
  <si>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</si>
  <si>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</si>
  <si>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</si>
  <si>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</si>
  <si>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</si>
  <si>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</si>
  <si>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</si>
  <si>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</si>
  <si>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</si>
  <si>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</si>
  <si>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</si>
  <si>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</si>
  <si>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</si>
  <si>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</si>
  <si>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</si>
  <si>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</si>
  <si>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</si>
  <si>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</si>
  <si>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</si>
  <si>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</si>
  <si>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</si>
  <si>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</si>
  <si>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</si>
  <si>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</si>
  <si>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</si>
  <si>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</si>
  <si>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</si>
  <si>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</si>
  <si>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</si>
  <si>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</si>
  <si>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</si>
  <si>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</si>
  <si>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</si>
  <si>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</si>
  <si>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</si>
  <si>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</si>
  <si>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</si>
  <si>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</si>
  <si>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</si>
  <si>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</si>
  <si>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</si>
  <si>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</si>
  <si>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</si>
  <si>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</si>
  <si>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</si>
  <si>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</si>
  <si>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</si>
  <si>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</si>
  <si>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</si>
  <si>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</si>
  <si>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</si>
  <si>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</si>
  <si>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</si>
  <si>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</si>
  <si>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</si>
  <si>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</si>
  <si>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</si>
  <si>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</si>
  <si>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</si>
  <si>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</si>
  <si>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</si>
  <si>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</si>
  <si>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</si>
  <si>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</si>
  <si>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</si>
  <si>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</si>
  <si>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</si>
  <si>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</si>
  <si>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</si>
  <si>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</si>
  <si>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</si>
  <si>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</si>
  <si>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</si>
  <si>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</si>
  <si>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</si>
  <si>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</si>
  <si>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</si>
  <si>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</si>
  <si>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</si>
  <si>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</si>
  <si>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</si>
  <si>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</si>
  <si>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</si>
  <si>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</si>
  <si>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</si>
  <si>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</si>
  <si>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</si>
  <si>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</si>
  <si>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</si>
  <si>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</si>
  <si>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</si>
  <si>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</si>
  <si>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</si>
  <si>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</si>
  <si>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</si>
  <si>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</si>
  <si>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</si>
  <si>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</si>
  <si>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</si>
  <si>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</si>
  <si>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</si>
  <si>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</si>
  <si>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</si>
  <si>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</si>
  <si>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</si>
  <si>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</si>
  <si>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</si>
  <si>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</si>
  <si>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</si>
  <si>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</si>
  <si>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</si>
  <si>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</si>
  <si>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</si>
  <si>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</si>
  <si>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</si>
  <si>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</si>
  <si>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</si>
  <si>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</si>
  <si>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</si>
  <si>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</si>
  <si>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</si>
  <si>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</si>
  <si>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</si>
  <si>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</si>
  <si>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</si>
  <si>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</si>
  <si>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</si>
  <si>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</si>
  <si>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</si>
  <si>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</si>
  <si>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</si>
  <si>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</si>
  <si>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</si>
  <si>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</si>
  <si>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</si>
  <si>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</si>
  <si>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</si>
  <si>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</si>
  <si>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</si>
  <si>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</si>
  <si>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</si>
  <si>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</si>
  <si>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</si>
  <si>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</si>
  <si>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</si>
  <si>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</si>
  <si>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</si>
  <si>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</si>
  <si>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</si>
  <si>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</si>
  <si>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</si>
  <si>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</si>
  <si>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</si>
  <si>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</si>
  <si>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</si>
  <si>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</si>
  <si>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</si>
  <si>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</si>
  <si>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</si>
  <si>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</si>
  <si>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</si>
  <si>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</si>
  <si>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</si>
  <si>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</si>
  <si>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</si>
  <si>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</si>
  <si>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</si>
  <si>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</si>
  <si>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</si>
  <si>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</si>
  <si>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</si>
  <si>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</si>
  <si>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</si>
  <si>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</si>
  <si>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</si>
  <si>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</si>
  <si>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</si>
  <si>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</si>
  <si>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</si>
  <si>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</si>
  <si>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</si>
  <si>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</si>
  <si>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</si>
  <si>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</si>
  <si>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</si>
  <si>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</si>
  <si>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</si>
  <si>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</si>
  <si>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</si>
  <si>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</si>
  <si>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</si>
  <si>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</si>
  <si>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</si>
  <si>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</si>
  <si>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</si>
  <si>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</si>
  <si>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</si>
  <si>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</si>
  <si>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</si>
  <si>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</si>
  <si>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</si>
  <si>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</si>
  <si>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</si>
  <si>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</si>
  <si>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</si>
  <si>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</si>
  <si>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</si>
  <si>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</si>
  <si>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</si>
  <si>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</si>
  <si>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</si>
  <si>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</si>
  <si>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</si>
  <si>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</si>
  <si>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</si>
  <si>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</si>
  <si>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</si>
  <si>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</si>
  <si>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</si>
  <si>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</si>
  <si>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</si>
  <si>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</si>
  <si>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</si>
  <si>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</si>
  <si>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</si>
  <si>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</si>
  <si>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</si>
  <si>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</si>
  <si>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</si>
  <si>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</si>
  <si>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</si>
  <si>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</si>
  <si>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</si>
  <si>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</si>
  <si>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</si>
  <si>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</si>
  <si>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</si>
  <si>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</si>
  <si>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</si>
  <si>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</si>
  <si>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</si>
  <si>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</si>
  <si>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</si>
  <si>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</si>
  <si>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</si>
  <si>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</si>
  <si>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</si>
  <si>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</si>
  <si>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</si>
  <si>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</si>
  <si>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</si>
  <si>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</si>
  <si>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</si>
  <si>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</si>
  <si>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</si>
  <si>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</si>
  <si>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</si>
  <si>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</si>
  <si>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</si>
  <si>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</si>
  <si>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</si>
  <si>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</si>
  <si>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</si>
  <si>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</si>
  <si>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</si>
  <si>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</si>
  <si>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</si>
  <si>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</si>
  <si>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</si>
  <si>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</si>
  <si>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</si>
  <si>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</si>
  <si>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</si>
  <si>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</si>
  <si>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</si>
  <si>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</si>
  <si>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</si>
  <si>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</si>
  <si>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</si>
  <si>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</si>
  <si>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</si>
  <si>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</si>
  <si>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</si>
  <si>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</si>
  <si>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</si>
  <si>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</si>
  <si>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</si>
  <si>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Уровень посещаемости МБДОУ воспитанниками, %</t>
  </si>
  <si>
    <t>МБОО ДОД Олимп ЗАТО Видяево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</si>
  <si>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</si>
  <si>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</si>
  <si>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</si>
  <si>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</si>
  <si>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</si>
  <si>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</si>
  <si>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</si>
  <si>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</si>
  <si>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</si>
  <si>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</si>
  <si>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</si>
  <si>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</si>
  <si>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</si>
  <si>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</si>
  <si>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</si>
  <si>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</si>
  <si>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</si>
  <si>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</si>
  <si>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</si>
  <si>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</si>
  <si>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>Организация работы площадки временного пребывания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</si>
  <si>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</si>
  <si>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</si>
  <si>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4.1.4.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</si>
  <si>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</si>
  <si>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</si>
  <si>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</si>
  <si>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</si>
  <si>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</si>
  <si>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</si>
  <si>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</si>
  <si>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</si>
  <si>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</si>
  <si>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</si>
  <si>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</si>
  <si>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</si>
  <si>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</si>
  <si>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</si>
  <si>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</si>
  <si>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</si>
  <si>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</si>
  <si>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</si>
  <si>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</si>
  <si>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</si>
  <si>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</si>
  <si>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</si>
  <si>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</si>
  <si>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</si>
  <si>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</si>
  <si>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</si>
  <si>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</si>
  <si>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2015-2020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</si>
  <si>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</si>
  <si>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>Целевая статья</t>
  </si>
  <si>
    <t>7020000000</t>
  </si>
  <si>
    <t>7020100000</t>
  </si>
  <si>
    <t xml:space="preserve">7020120110 600 07 07 </t>
  </si>
  <si>
    <t>7020200000</t>
  </si>
  <si>
    <t>7020220110 100 01 13</t>
  </si>
  <si>
    <t>7020220110 200 01 13</t>
  </si>
  <si>
    <t>7020300000</t>
  </si>
  <si>
    <t>7020320110 600 07 09</t>
  </si>
  <si>
    <t>7020400000</t>
  </si>
  <si>
    <t>70204S1050 600 07 07</t>
  </si>
  <si>
    <t>7020471050 600 07 07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</si>
  <si>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</si>
  <si>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</si>
  <si>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</si>
  <si>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</si>
  <si>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</si>
  <si>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</si>
  <si>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</si>
  <si>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</si>
  <si>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</si>
  <si>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</si>
  <si>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</si>
  <si>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 xml:space="preserve">Приложение 2
к изменениям в муниципальную программу "Развитие образования ЗАТО  Видяево"  
</t>
  </si>
  <si>
    <t xml:space="preserve">Приложение 1  
к изменениям в муниципальную программу "Развитие образования ЗАТО  Видяево"  
</t>
  </si>
  <si>
    <t>МБДОУ №1 ЗАТО Видяево</t>
  </si>
  <si>
    <t xml:space="preserve">Приложение 3
к изменениям в муниципальную программу "Развитие образования ЗАТО  Видяево"  
</t>
  </si>
  <si>
    <t>51,5</t>
  </si>
  <si>
    <t>99,6</t>
  </si>
  <si>
    <t>80</t>
  </si>
  <si>
    <t>98,6</t>
  </si>
  <si>
    <t>56</t>
  </si>
  <si>
    <t>МБОО ДО «Олимп» ЗАТО Видяево</t>
  </si>
  <si>
    <t>МБДОУ №2 ЗАТО Видяево</t>
  </si>
  <si>
    <t>61</t>
  </si>
  <si>
    <t>84</t>
  </si>
  <si>
    <t>Доля победителей и призеров от числа участников конкурсов муниципального, областного, регионального и всероссийского  уровней, %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</si>
  <si>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молодежи, Ед.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</si>
  <si>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периода, %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</si>
  <si>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периода,  %</t>
  </si>
  <si>
    <t>Ремонт пищеблока МБОУ СОШ ЗАТО Видяево (корпус №1 и №2)</t>
  </si>
  <si>
    <t>Проведение ремонтных работ по подготовке учреждений к новому учебному году</t>
  </si>
  <si>
    <t>Доля проведенных работ по обеспечению комплексной безопасности образовательных организаций в общем объеме запланированных работ по обеспечению комплексной безопасности, %</t>
  </si>
  <si>
    <t>Доля образовательных организаций, в которых устранены предписания надзорных органов, от числа образовательных организаций, имеющих неустраненные предписания, которым предусмотрена субсидия, %</t>
  </si>
  <si>
    <t xml:space="preserve">Доля охвата детей и подростков организованным отдыхом, оздоровлением и занятостью, %
</t>
  </si>
  <si>
    <t>Доля охвата детей в тяжелой жизненной ситуации (ТЖС) оздоровлением в лагерях с дневным пребыванием, %</t>
  </si>
  <si>
    <t>Доля детей, охваченных оздоровлением на площадке временного пребывания, из числа детей, находящихся в ТЖС, %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</si>
  <si>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области, %</t>
  </si>
  <si>
    <t>Количество несовершеннолетних детей временно трудоустроенных, Чел.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</si>
  <si>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положении, Ед.</t>
  </si>
  <si>
    <t>Организация профессиональных конкурсов, практических конференций, мероприятий направленных на престиж педагогических профессий, ед.</t>
  </si>
  <si>
    <t>МБОО ДО "Олимп" ЗАТО Видяево</t>
  </si>
  <si>
    <t>Доля педагогических и руководящих работников, охваченных различными формами и методических мероприятий, %</t>
  </si>
  <si>
    <t>Благоустройство спортивной площадки, установленной для выполнения нормативов ВФСК ГТО</t>
  </si>
  <si>
    <t>Готовность спортивной площадки для проведения испытаний по выполнению нормативов ВФСК ГТО, %</t>
  </si>
  <si>
    <t xml:space="preserve"> МАУ СОК "Фрегат" ЗАТО Видяево</t>
  </si>
  <si>
    <t>Всего:   в т.ч.: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</si>
  <si>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№594, от 14.11.2016 №725,от  26.12.2016 № 851, от 10/02/2017 №96, от 03.05.2017 №302, от 23.08.2017 № 487, от 13.12.2017№748, от 29.05.2018 № 484, от 14.06.2018 №526, от 21.06.2018 №546, от23.11.2018 №931)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</si>
</sst>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center" vertical="center" wrapText="1"/>
      <protection/>
    </xf>
    <xf numFmtId="49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0">
    <xf numFmtId="0" fontId="0" fillId="0" borderId="0" xfId="0" applyFont="1" applyAlignment="1">
      <alignment/>
    </xf>
    <xf numFmtId="0" fontId="57" fillId="0" borderId="0" xfId="0" applyFont="1" applyAlignment="1">
      <alignment readingOrder="1"/>
    </xf>
    <xf numFmtId="49" fontId="57" fillId="0" borderId="0" xfId="0" applyNumberFormat="1" applyFont="1" applyAlignment="1">
      <alignment readingOrder="1"/>
    </xf>
    <xf numFmtId="0" fontId="57" fillId="0" borderId="0" xfId="0" applyFont="1" applyAlignment="1">
      <alignment horizontal="center" readingOrder="1"/>
    </xf>
    <xf numFmtId="0" fontId="57" fillId="0" borderId="0" xfId="0" applyFont="1" applyAlignment="1">
      <alignment horizontal="left" readingOrder="1"/>
    </xf>
    <xf numFmtId="0" fontId="58" fillId="0" borderId="0" xfId="0" applyFont="1" applyAlignment="1">
      <alignment horizontal="left" readingOrder="1"/>
    </xf>
    <xf numFmtId="49" fontId="57" fillId="0" borderId="0" xfId="0" applyNumberFormat="1" applyFont="1" applyAlignment="1">
      <alignment horizontal="center" readingOrder="1"/>
    </xf>
    <xf numFmtId="49" fontId="58" fillId="0" borderId="0" xfId="0" applyNumberFormat="1" applyFont="1" applyAlignment="1">
      <alignment horizontal="center" readingOrder="1"/>
    </xf>
    <xf numFmtId="49" fontId="59" fillId="0" borderId="11" xfId="0" applyNumberFormat="1" applyFont="1" applyBorder="1" applyAlignment="1">
      <alignment horizontal="center" vertical="center" wrapText="1" readingOrder="1"/>
    </xf>
    <xf numFmtId="0" fontId="60" fillId="0" borderId="0" xfId="0" applyFont="1" applyAlignment="1">
      <alignment wrapText="1" readingOrder="1"/>
    </xf>
    <xf numFmtId="0" fontId="61" fillId="0" borderId="0" xfId="0" applyFont="1" applyAlignment="1">
      <alignment readingOrder="1"/>
    </xf>
    <xf numFmtId="0" fontId="60" fillId="0" borderId="0" xfId="0" applyFont="1" applyAlignment="1">
      <alignment readingOrder="1"/>
    </xf>
    <xf numFmtId="0" fontId="62" fillId="0" borderId="0" xfId="0" applyFont="1" applyAlignment="1">
      <alignment horizontal="right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3" fillId="0" borderId="0" xfId="0" applyFont="1" applyAlignment="1">
      <alignment readingOrder="1"/>
    </xf>
    <xf numFmtId="49" fontId="59" fillId="0" borderId="11" xfId="0" applyNumberFormat="1" applyFont="1" applyBorder="1" applyAlignment="1">
      <alignment horizontal="center" wrapText="1" readingOrder="1"/>
    </xf>
    <xf numFmtId="0" fontId="62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49" fontId="59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49" fontId="62" fillId="0" borderId="15" xfId="0" applyNumberFormat="1" applyFont="1" applyBorder="1" applyAlignment="1">
      <alignment horizontal="left" vertical="top" wrapText="1" readingOrder="1"/>
    </xf>
    <xf numFmtId="0" fontId="62" fillId="0" borderId="11" xfId="0" applyNumberFormat="1" applyFont="1" applyBorder="1" applyAlignment="1">
      <alignment horizontal="center" vertical="center" wrapText="1" readingOrder="1"/>
    </xf>
    <xf numFmtId="49" fontId="60" fillId="0" borderId="0" xfId="0" applyNumberFormat="1" applyFont="1" applyAlignment="1">
      <alignment readingOrder="1"/>
    </xf>
    <xf numFmtId="0" fontId="60" fillId="0" borderId="0" xfId="0" applyFont="1" applyAlignment="1">
      <alignment horizontal="center" readingOrder="1"/>
    </xf>
    <xf numFmtId="0" fontId="60" fillId="0" borderId="0" xfId="0" applyFont="1" applyAlignment="1">
      <alignment horizontal="left" readingOrder="1"/>
    </xf>
    <xf numFmtId="49" fontId="60" fillId="0" borderId="0" xfId="0" applyNumberFormat="1" applyFont="1" applyAlignment="1">
      <alignment horizontal="center" readingOrder="1"/>
    </xf>
    <xf numFmtId="0" fontId="60" fillId="0" borderId="0" xfId="0" applyFont="1" applyAlignment="1">
      <alignment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readingOrder="1"/>
    </xf>
    <xf numFmtId="178" fontId="62" fillId="0" borderId="22" xfId="0" applyNumberFormat="1" applyFont="1" applyBorder="1" applyAlignment="1">
      <alignment horizontal="center" vertical="center" wrapText="1"/>
    </xf>
    <xf numFmtId="178" fontId="62" fillId="0" borderId="23" xfId="0" applyNumberFormat="1" applyFont="1" applyBorder="1" applyAlignment="1">
      <alignment horizontal="center" vertical="center" wrapText="1"/>
    </xf>
    <xf numFmtId="178" fontId="62" fillId="0" borderId="24" xfId="0" applyNumberFormat="1" applyFont="1" applyBorder="1" applyAlignment="1">
      <alignment horizontal="center" vertical="center" wrapText="1"/>
    </xf>
    <xf numFmtId="178" fontId="59" fillId="0" borderId="25" xfId="0" applyNumberFormat="1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178" fontId="59" fillId="0" borderId="27" xfId="0" applyNumberFormat="1" applyFont="1" applyBorder="1" applyAlignment="1">
      <alignment horizontal="center" vertical="center" wrapText="1"/>
    </xf>
    <xf numFmtId="178" fontId="59" fillId="0" borderId="28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center" vertical="top" readingOrder="1"/>
    </xf>
    <xf numFmtId="0" fontId="60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178" fontId="59" fillId="13" borderId="11" xfId="0" applyNumberFormat="1" applyFont="1" applyFill="1" applyBorder="1" applyAlignment="1">
      <alignment horizontal="center" vertical="center"/>
    </xf>
    <xf numFmtId="178" fontId="62" fillId="13" borderId="11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top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78" fontId="62" fillId="33" borderId="11" xfId="0" applyNumberFormat="1" applyFont="1" applyFill="1" applyBorder="1" applyAlignment="1">
      <alignment horizontal="center" vertical="center"/>
    </xf>
    <xf numFmtId="178" fontId="60" fillId="0" borderId="0" xfId="0" applyNumberFormat="1" applyFont="1" applyAlignment="1">
      <alignment/>
    </xf>
    <xf numFmtId="178" fontId="59" fillId="13" borderId="11" xfId="0" applyNumberFormat="1" applyFont="1" applyFill="1" applyBorder="1" applyAlignment="1">
      <alignment horizontal="center" vertical="center" wrapText="1"/>
    </xf>
    <xf numFmtId="178" fontId="62" fillId="13" borderId="11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Alignment="1">
      <alignment/>
    </xf>
    <xf numFmtId="178" fontId="62" fillId="33" borderId="11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left" vertical="center" wrapText="1" readingOrder="1"/>
    </xf>
    <xf numFmtId="9" fontId="62" fillId="0" borderId="16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wrapText="1"/>
    </xf>
    <xf numFmtId="178" fontId="62" fillId="33" borderId="29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center" wrapText="1"/>
    </xf>
    <xf numFmtId="178" fontId="62" fillId="0" borderId="11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center" wrapText="1"/>
    </xf>
    <xf numFmtId="49" fontId="62" fillId="0" borderId="16" xfId="0" applyNumberFormat="1" applyFont="1" applyBorder="1" applyAlignment="1">
      <alignment vertical="top" wrapText="1" readingOrder="1"/>
    </xf>
    <xf numFmtId="49" fontId="62" fillId="0" borderId="11" xfId="0" applyNumberFormat="1" applyFont="1" applyBorder="1" applyAlignment="1">
      <alignment vertical="top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178" fontId="57" fillId="0" borderId="0" xfId="0" applyNumberFormat="1" applyFont="1" applyAlignment="1">
      <alignment horizontal="center" vertical="center" readingOrder="1"/>
    </xf>
    <xf numFmtId="49" fontId="59" fillId="0" borderId="16" xfId="0" applyNumberFormat="1" applyFont="1" applyBorder="1" applyAlignment="1">
      <alignment horizontal="center" vertical="center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49" fontId="59" fillId="0" borderId="31" xfId="0" applyNumberFormat="1" applyFont="1" applyBorder="1" applyAlignment="1">
      <alignment horizontal="left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horizontal="left"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32" xfId="0" applyNumberFormat="1" applyFont="1" applyBorder="1" applyAlignment="1">
      <alignment horizontal="left" vertical="center" wrapText="1" readingOrder="1"/>
    </xf>
    <xf numFmtId="49" fontId="62" fillId="0" borderId="33" xfId="0" applyNumberFormat="1" applyFont="1" applyBorder="1" applyAlignment="1">
      <alignment horizontal="center" vertical="center" wrapText="1" readingOrder="1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readingOrder="1"/>
    </xf>
    <xf numFmtId="0" fontId="58" fillId="0" borderId="11" xfId="0" applyFont="1" applyBorder="1" applyAlignment="1">
      <alignment horizontal="center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178" fontId="62" fillId="0" borderId="11" xfId="0" applyNumberFormat="1" applyFont="1" applyBorder="1" applyAlignment="1">
      <alignment horizontal="center" vertical="top" wrapText="1"/>
    </xf>
    <xf numFmtId="178" fontId="59" fillId="0" borderId="37" xfId="0" applyNumberFormat="1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178" fontId="59" fillId="33" borderId="11" xfId="0" applyNumberFormat="1" applyFont="1" applyFill="1" applyBorder="1" applyAlignment="1">
      <alignment horizontal="center" vertical="center" wrapText="1" readingOrder="1"/>
    </xf>
    <xf numFmtId="0" fontId="62" fillId="0" borderId="3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49" fontId="62" fillId="0" borderId="11" xfId="60" applyNumberFormat="1" applyFont="1" applyBorder="1" applyAlignment="1">
      <alignment horizontal="center" vertical="center" wrapText="1" readingOrder="1"/>
    </xf>
    <xf numFmtId="0" fontId="59" fillId="0" borderId="12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2" fillId="0" borderId="29" xfId="0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0" fontId="62" fillId="0" borderId="39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top" wrapText="1"/>
    </xf>
    <xf numFmtId="178" fontId="62" fillId="34" borderId="11" xfId="0" applyNumberFormat="1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 readingOrder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178" fontId="59" fillId="0" borderId="40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Fill="1" applyAlignment="1">
      <alignment horizontal="center" vertical="center" readingOrder="1"/>
    </xf>
    <xf numFmtId="0" fontId="62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top" readingOrder="1"/>
    </xf>
    <xf numFmtId="0" fontId="59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left" vertical="top" wrapText="1"/>
    </xf>
    <xf numFmtId="178" fontId="59" fillId="0" borderId="12" xfId="0" applyNumberFormat="1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0" fontId="58" fillId="0" borderId="0" xfId="0" applyFont="1" applyFill="1" applyAlignment="1">
      <alignment horizontal="left" vertical="top" readingOrder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17" xfId="0" applyFont="1" applyFill="1" applyBorder="1" applyAlignment="1">
      <alignment horizontal="center" vertical="center" wrapText="1" readingOrder="1"/>
    </xf>
    <xf numFmtId="0" fontId="57" fillId="0" borderId="0" xfId="0" applyFont="1" applyFill="1" applyAlignment="1">
      <alignment readingOrder="1"/>
    </xf>
    <xf numFmtId="0" fontId="59" fillId="0" borderId="18" xfId="0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top" wrapText="1"/>
    </xf>
    <xf numFmtId="178" fontId="62" fillId="0" borderId="22" xfId="0" applyNumberFormat="1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center" wrapText="1" readingOrder="1"/>
    </xf>
    <xf numFmtId="178" fontId="62" fillId="0" borderId="23" xfId="0" applyNumberFormat="1" applyFont="1" applyFill="1" applyBorder="1" applyAlignment="1">
      <alignment horizontal="center" vertical="top" wrapText="1"/>
    </xf>
    <xf numFmtId="178" fontId="62" fillId="0" borderId="24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 readingOrder="1"/>
    </xf>
    <xf numFmtId="178" fontId="59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9" fillId="0" borderId="11" xfId="0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41" xfId="0" applyFont="1" applyFill="1" applyBorder="1" applyAlignment="1">
      <alignment horizontal="left" vertical="center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left" vertical="center" wrapText="1" readingOrder="1"/>
    </xf>
    <xf numFmtId="0" fontId="62" fillId="0" borderId="19" xfId="0" applyFont="1" applyFill="1" applyBorder="1" applyAlignment="1">
      <alignment horizontal="left" vertical="center" wrapText="1" readingOrder="1"/>
    </xf>
    <xf numFmtId="49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49" fontId="59" fillId="0" borderId="11" xfId="0" applyNumberFormat="1" applyFont="1" applyFill="1" applyBorder="1" applyAlignment="1">
      <alignment horizontal="left" vertical="top"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7" xfId="0" applyFont="1" applyFill="1" applyBorder="1" applyAlignment="1">
      <alignment horizontal="left" vertical="center" wrapText="1" readingOrder="1"/>
    </xf>
    <xf numFmtId="178" fontId="59" fillId="0" borderId="43" xfId="0" applyNumberFormat="1" applyFont="1" applyFill="1" applyBorder="1" applyAlignment="1">
      <alignment horizontal="center" vertical="center" wrapText="1" readingOrder="1"/>
    </xf>
    <xf numFmtId="178" fontId="59" fillId="0" borderId="44" xfId="0" applyNumberFormat="1" applyFont="1" applyFill="1" applyBorder="1" applyAlignment="1">
      <alignment horizontal="center" vertical="center" wrapText="1" readingOrder="1"/>
    </xf>
    <xf numFmtId="178" fontId="62" fillId="0" borderId="22" xfId="0" applyNumberFormat="1" applyFont="1" applyFill="1" applyBorder="1" applyAlignment="1">
      <alignment horizontal="center" vertical="center" wrapText="1" readingOrder="1"/>
    </xf>
    <xf numFmtId="0" fontId="62" fillId="0" borderId="36" xfId="0" applyFont="1" applyFill="1" applyBorder="1" applyAlignment="1">
      <alignment horizontal="left" vertical="center" wrapText="1" readingOrder="1"/>
    </xf>
    <xf numFmtId="178" fontId="62" fillId="0" borderId="45" xfId="0" applyNumberFormat="1" applyFont="1" applyFill="1" applyBorder="1" applyAlignment="1">
      <alignment horizontal="center" vertical="center" wrapText="1" readingOrder="1"/>
    </xf>
    <xf numFmtId="49" fontId="64" fillId="0" borderId="0" xfId="0" applyNumberFormat="1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left" vertical="top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46" xfId="0" applyFont="1" applyFill="1" applyBorder="1" applyAlignment="1">
      <alignment horizontal="left" vertical="top" wrapText="1" readingOrder="1"/>
    </xf>
    <xf numFmtId="0" fontId="64" fillId="0" borderId="46" xfId="0" applyFont="1" applyFill="1" applyBorder="1" applyAlignment="1">
      <alignment horizontal="center" vertical="top" wrapText="1" readingOrder="1"/>
    </xf>
    <xf numFmtId="0" fontId="64" fillId="0" borderId="0" xfId="0" applyFont="1" applyFill="1" applyBorder="1" applyAlignment="1">
      <alignment horizontal="center" vertical="top" wrapText="1" readingOrder="1"/>
    </xf>
    <xf numFmtId="49" fontId="64" fillId="0" borderId="0" xfId="0" applyNumberFormat="1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left" vertical="top" readingOrder="1"/>
    </xf>
    <xf numFmtId="0" fontId="64" fillId="0" borderId="0" xfId="0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center" vertical="top" readingOrder="1"/>
    </xf>
    <xf numFmtId="0" fontId="64" fillId="0" borderId="0" xfId="0" applyFont="1" applyFill="1" applyBorder="1" applyAlignment="1">
      <alignment readingOrder="1"/>
    </xf>
    <xf numFmtId="49" fontId="58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readingOrder="1"/>
    </xf>
    <xf numFmtId="0" fontId="58" fillId="0" borderId="0" xfId="0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top" readingOrder="1"/>
    </xf>
    <xf numFmtId="49" fontId="58" fillId="0" borderId="0" xfId="0" applyNumberFormat="1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top" readingOrder="1"/>
    </xf>
    <xf numFmtId="0" fontId="59" fillId="0" borderId="30" xfId="0" applyFont="1" applyFill="1" applyBorder="1" applyAlignment="1">
      <alignment horizontal="left" vertical="center" wrapText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vertical="top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9" fontId="62" fillId="0" borderId="16" xfId="0" applyNumberFormat="1" applyFont="1" applyFill="1" applyBorder="1" applyAlignment="1">
      <alignment horizontal="center" vertical="center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center" wrapText="1"/>
    </xf>
    <xf numFmtId="178" fontId="62" fillId="0" borderId="11" xfId="0" applyNumberFormat="1" applyFont="1" applyFill="1" applyBorder="1" applyAlignment="1">
      <alignment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8" fontId="62" fillId="0" borderId="22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8" fontId="62" fillId="0" borderId="23" xfId="0" applyNumberFormat="1" applyFont="1" applyFill="1" applyBorder="1" applyAlignment="1">
      <alignment horizontal="center" vertical="center" wrapText="1"/>
    </xf>
    <xf numFmtId="178" fontId="62" fillId="0" borderId="24" xfId="0" applyNumberFormat="1" applyFont="1" applyFill="1" applyBorder="1" applyAlignment="1">
      <alignment horizontal="center" vertical="center" wrapText="1"/>
    </xf>
    <xf numFmtId="49" fontId="62" fillId="0" borderId="11" xfId="6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62" fillId="0" borderId="36" xfId="0" applyFont="1" applyFill="1" applyBorder="1" applyAlignment="1">
      <alignment horizontal="center" vertical="center" wrapText="1"/>
    </xf>
    <xf numFmtId="178" fontId="62" fillId="0" borderId="45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78" fontId="59" fillId="0" borderId="23" xfId="0" applyNumberFormat="1" applyFont="1" applyFill="1" applyBorder="1" applyAlignment="1">
      <alignment horizontal="center" vertical="center" wrapText="1"/>
    </xf>
    <xf numFmtId="178" fontId="59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readingOrder="1"/>
    </xf>
    <xf numFmtId="0" fontId="57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horizontal="left" vertical="center" readingOrder="1"/>
    </xf>
    <xf numFmtId="0" fontId="57" fillId="0" borderId="0" xfId="0" applyFont="1" applyFill="1" applyAlignment="1">
      <alignment horizontal="center" readingOrder="1"/>
    </xf>
    <xf numFmtId="178" fontId="57" fillId="0" borderId="0" xfId="0" applyNumberFormat="1" applyFont="1" applyFill="1" applyAlignment="1">
      <alignment horizontal="center" vertical="center" readingOrder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top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8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57" fillId="0" borderId="0" xfId="0" applyFont="1" applyAlignment="1">
      <alignment horizontal="left" wrapText="1" readingOrder="1"/>
    </xf>
    <xf numFmtId="0" fontId="62" fillId="0" borderId="11" xfId="0" applyFont="1" applyBorder="1" applyAlignment="1">
      <alignment horizontal="center" vertical="center" readingOrder="1"/>
    </xf>
    <xf numFmtId="178" fontId="62" fillId="0" borderId="29" xfId="0" applyNumberFormat="1" applyFont="1" applyBorder="1" applyAlignment="1">
      <alignment vertical="top" readingOrder="1"/>
    </xf>
    <xf numFmtId="0" fontId="62" fillId="0" borderId="29" xfId="0" applyFont="1" applyBorder="1" applyAlignment="1">
      <alignment vertical="top" readingOrder="1"/>
    </xf>
    <xf numFmtId="178" fontId="57" fillId="0" borderId="0" xfId="0" applyNumberFormat="1" applyFont="1" applyFill="1" applyAlignment="1">
      <alignment horizontal="center" readingOrder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vertical="top" wrapText="1" readingOrder="1"/>
    </xf>
    <xf numFmtId="0" fontId="62" fillId="0" borderId="11" xfId="0" applyFont="1" applyFill="1" applyBorder="1" applyAlignment="1">
      <alignment readingOrder="1"/>
    </xf>
    <xf numFmtId="0" fontId="62" fillId="0" borderId="33" xfId="0" applyFont="1" applyFill="1" applyBorder="1" applyAlignment="1">
      <alignment vertical="top" wrapText="1" readingOrder="1"/>
    </xf>
    <xf numFmtId="178" fontId="59" fillId="0" borderId="47" xfId="0" applyNumberFormat="1" applyFont="1" applyFill="1" applyBorder="1" applyAlignment="1">
      <alignment horizontal="center" vertical="top" readingOrder="1"/>
    </xf>
    <xf numFmtId="178" fontId="59" fillId="0" borderId="48" xfId="0" applyNumberFormat="1" applyFont="1" applyFill="1" applyBorder="1" applyAlignment="1">
      <alignment horizontal="center" vertical="top" readingOrder="1"/>
    </xf>
    <xf numFmtId="0" fontId="59" fillId="0" borderId="49" xfId="0" applyFont="1" applyFill="1" applyBorder="1" applyAlignment="1">
      <alignment horizontal="center" vertical="top" wrapText="1" readingOrder="1"/>
    </xf>
    <xf numFmtId="0" fontId="62" fillId="0" borderId="50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center" vertical="center" readingOrder="1"/>
    </xf>
    <xf numFmtId="178" fontId="62" fillId="0" borderId="12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readingOrder="1"/>
    </xf>
    <xf numFmtId="178" fontId="59" fillId="0" borderId="12" xfId="0" applyNumberFormat="1" applyFont="1" applyFill="1" applyBorder="1" applyAlignment="1">
      <alignment horizontal="center" vertical="top" wrapText="1" readingOrder="1"/>
    </xf>
    <xf numFmtId="0" fontId="59" fillId="0" borderId="12" xfId="0" applyFont="1" applyFill="1" applyBorder="1" applyAlignment="1">
      <alignment horizontal="center" vertical="top" wrapText="1" readingOrder="1"/>
    </xf>
    <xf numFmtId="0" fontId="60" fillId="0" borderId="16" xfId="0" applyFont="1" applyFill="1" applyBorder="1" applyAlignment="1">
      <alignment vertical="top" wrapText="1" readingOrder="1"/>
    </xf>
    <xf numFmtId="0" fontId="62" fillId="0" borderId="16" xfId="0" applyFont="1" applyFill="1" applyBorder="1" applyAlignment="1">
      <alignment readingOrder="1"/>
    </xf>
    <xf numFmtId="0" fontId="62" fillId="0" borderId="30" xfId="0" applyFont="1" applyFill="1" applyBorder="1" applyAlignment="1">
      <alignment vertical="top" wrapText="1" readingOrder="1"/>
    </xf>
    <xf numFmtId="0" fontId="60" fillId="0" borderId="50" xfId="0" applyFont="1" applyFill="1" applyBorder="1" applyAlignment="1">
      <alignment vertical="top" readingOrder="1"/>
    </xf>
    <xf numFmtId="178" fontId="59" fillId="0" borderId="12" xfId="0" applyNumberFormat="1" applyFont="1" applyFill="1" applyBorder="1" applyAlignment="1">
      <alignment horizontal="center" vertical="top" readingOrder="1"/>
    </xf>
    <xf numFmtId="0" fontId="60" fillId="0" borderId="12" xfId="0" applyFont="1" applyFill="1" applyBorder="1" applyAlignment="1">
      <alignment horizontal="center" vertical="top" readingOrder="1"/>
    </xf>
    <xf numFmtId="0" fontId="62" fillId="0" borderId="32" xfId="0" applyFont="1" applyFill="1" applyBorder="1" applyAlignment="1">
      <alignment vertical="top" wrapText="1"/>
    </xf>
    <xf numFmtId="0" fontId="62" fillId="0" borderId="11" xfId="0" applyFont="1" applyFill="1" applyBorder="1" applyAlignment="1">
      <alignment vertical="top" readingOrder="1"/>
    </xf>
    <xf numFmtId="0" fontId="62" fillId="0" borderId="16" xfId="0" applyFont="1" applyFill="1" applyBorder="1" applyAlignment="1">
      <alignment horizontal="center" vertical="top" readingOrder="1"/>
    </xf>
    <xf numFmtId="0" fontId="62" fillId="0" borderId="33" xfId="0" applyFont="1" applyFill="1" applyBorder="1" applyAlignment="1">
      <alignment vertical="top" wrapText="1"/>
    </xf>
    <xf numFmtId="0" fontId="62" fillId="0" borderId="29" xfId="0" applyFont="1" applyFill="1" applyBorder="1" applyAlignment="1">
      <alignment horizontal="center" vertical="top" readingOrder="1"/>
    </xf>
    <xf numFmtId="0" fontId="59" fillId="0" borderId="50" xfId="0" applyFont="1" applyFill="1" applyBorder="1" applyAlignment="1">
      <alignment horizontal="center" vertical="top" readingOrder="1"/>
    </xf>
    <xf numFmtId="178" fontId="60" fillId="0" borderId="51" xfId="0" applyNumberFormat="1" applyFont="1" applyFill="1" applyBorder="1" applyAlignment="1">
      <alignment vertical="top" readingOrder="1"/>
    </xf>
    <xf numFmtId="0" fontId="60" fillId="0" borderId="51" xfId="0" applyFont="1" applyFill="1" applyBorder="1" applyAlignment="1">
      <alignment vertical="top" readingOrder="1"/>
    </xf>
    <xf numFmtId="178" fontId="62" fillId="0" borderId="12" xfId="0" applyNumberFormat="1" applyFont="1" applyFill="1" applyBorder="1" applyAlignment="1">
      <alignment horizontal="center" vertical="top" readingOrder="1"/>
    </xf>
    <xf numFmtId="0" fontId="62" fillId="0" borderId="12" xfId="0" applyFont="1" applyFill="1" applyBorder="1" applyAlignment="1">
      <alignment horizontal="center" vertical="top" readingOrder="1"/>
    </xf>
    <xf numFmtId="178" fontId="62" fillId="0" borderId="12" xfId="0" applyNumberFormat="1" applyFont="1" applyFill="1" applyBorder="1" applyAlignment="1">
      <alignment vertical="top" readingOrder="1"/>
    </xf>
    <xf numFmtId="0" fontId="62" fillId="0" borderId="12" xfId="0" applyFont="1" applyFill="1" applyBorder="1" applyAlignment="1">
      <alignment vertical="top" readingOrder="1"/>
    </xf>
    <xf numFmtId="178" fontId="59" fillId="0" borderId="12" xfId="0" applyNumberFormat="1" applyFont="1" applyFill="1" applyBorder="1" applyAlignment="1">
      <alignment vertical="top" readingOrder="1"/>
    </xf>
    <xf numFmtId="0" fontId="59" fillId="0" borderId="12" xfId="0" applyFont="1" applyFill="1" applyBorder="1" applyAlignment="1">
      <alignment vertical="top" wrapText="1" readingOrder="1"/>
    </xf>
    <xf numFmtId="16" fontId="62" fillId="0" borderId="11" xfId="0" applyNumberFormat="1" applyFont="1" applyFill="1" applyBorder="1" applyAlignment="1">
      <alignment horizontal="center" vertical="top" readingOrder="1"/>
    </xf>
    <xf numFmtId="0" fontId="62" fillId="0" borderId="33" xfId="0" applyFont="1" applyFill="1" applyBorder="1" applyAlignment="1">
      <alignment wrapText="1" readingOrder="1"/>
    </xf>
    <xf numFmtId="16" fontId="62" fillId="0" borderId="50" xfId="0" applyNumberFormat="1" applyFont="1" applyFill="1" applyBorder="1" applyAlignment="1">
      <alignment horizontal="center" vertical="top" readingOrder="1"/>
    </xf>
    <xf numFmtId="178" fontId="59" fillId="0" borderId="11" xfId="0" applyNumberFormat="1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vertical="top" wrapText="1" readingOrder="1"/>
    </xf>
    <xf numFmtId="178" fontId="59" fillId="0" borderId="47" xfId="0" applyNumberFormat="1" applyFont="1" applyFill="1" applyBorder="1" applyAlignment="1">
      <alignment horizontal="center" vertical="top" wrapText="1" readingOrder="1"/>
    </xf>
    <xf numFmtId="178" fontId="59" fillId="0" borderId="48" xfId="0" applyNumberFormat="1" applyFont="1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/>
    </xf>
    <xf numFmtId="0" fontId="60" fillId="0" borderId="52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 readingOrder="1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center" vertical="top" wrapText="1" readingOrder="1"/>
    </xf>
    <xf numFmtId="0" fontId="57" fillId="0" borderId="0" xfId="0" applyFont="1" applyFill="1" applyAlignment="1">
      <alignment horizontal="center" wrapText="1" readingOrder="1"/>
    </xf>
    <xf numFmtId="0" fontId="62" fillId="0" borderId="0" xfId="0" applyFont="1" applyFill="1" applyAlignment="1">
      <alignment horizontal="right"/>
    </xf>
    <xf numFmtId="0" fontId="59" fillId="0" borderId="11" xfId="0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vertical="top" wrapText="1"/>
    </xf>
    <xf numFmtId="0" fontId="62" fillId="0" borderId="19" xfId="0" applyFont="1" applyFill="1" applyBorder="1" applyAlignment="1">
      <alignment vertical="top" wrapText="1"/>
    </xf>
    <xf numFmtId="0" fontId="59" fillId="0" borderId="11" xfId="0" applyFont="1" applyFill="1" applyBorder="1" applyAlignment="1">
      <alignment horizontal="center" vertical="top" readingOrder="1"/>
    </xf>
    <xf numFmtId="0" fontId="59" fillId="0" borderId="11" xfId="0" applyFont="1" applyFill="1" applyBorder="1" applyAlignment="1">
      <alignment horizontal="left" vertical="center" wrapText="1" readingOrder="1"/>
    </xf>
    <xf numFmtId="0" fontId="62" fillId="0" borderId="11" xfId="0" applyFont="1" applyFill="1" applyBorder="1" applyAlignment="1">
      <alignment vertical="center" wrapText="1" readingOrder="1"/>
    </xf>
    <xf numFmtId="0" fontId="59" fillId="0" borderId="17" xfId="0" applyFont="1" applyFill="1" applyBorder="1" applyAlignment="1">
      <alignment vertical="top" wrapText="1"/>
    </xf>
    <xf numFmtId="0" fontId="59" fillId="0" borderId="18" xfId="0" applyFont="1" applyFill="1" applyBorder="1" applyAlignment="1">
      <alignment vertical="top" wrapText="1"/>
    </xf>
    <xf numFmtId="0" fontId="62" fillId="0" borderId="36" xfId="0" applyFont="1" applyFill="1" applyBorder="1" applyAlignment="1">
      <alignment vertical="top" wrapText="1"/>
    </xf>
    <xf numFmtId="178" fontId="62" fillId="0" borderId="12" xfId="0" applyNumberFormat="1" applyFont="1" applyFill="1" applyBorder="1" applyAlignment="1">
      <alignment horizontal="center" vertical="top" wrapText="1"/>
    </xf>
    <xf numFmtId="178" fontId="62" fillId="0" borderId="45" xfId="0" applyNumberFormat="1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 wrapText="1" readingOrder="1"/>
    </xf>
    <xf numFmtId="0" fontId="59" fillId="0" borderId="18" xfId="0" applyFont="1" applyFill="1" applyBorder="1" applyAlignment="1">
      <alignment horizontal="left" vertical="top" wrapText="1"/>
    </xf>
    <xf numFmtId="0" fontId="59" fillId="0" borderId="19" xfId="0" applyFont="1" applyFill="1" applyBorder="1" applyAlignment="1">
      <alignment horizontal="left" vertical="top" wrapText="1"/>
    </xf>
    <xf numFmtId="0" fontId="62" fillId="0" borderId="0" xfId="0" applyFont="1" applyBorder="1" applyAlignment="1">
      <alignment vertical="center" wrapText="1" readingOrder="1"/>
    </xf>
    <xf numFmtId="0" fontId="57" fillId="0" borderId="0" xfId="0" applyFont="1" applyAlignment="1">
      <alignment horizontal="center" wrapText="1" readingOrder="1"/>
    </xf>
    <xf numFmtId="178" fontId="62" fillId="0" borderId="29" xfId="0" applyNumberFormat="1" applyFont="1" applyFill="1" applyBorder="1" applyAlignment="1">
      <alignment vertical="top" readingOrder="1"/>
    </xf>
    <xf numFmtId="178" fontId="62" fillId="0" borderId="39" xfId="0" applyNumberFormat="1" applyFont="1" applyFill="1" applyBorder="1" applyAlignment="1">
      <alignment vertical="top" readingOrder="1"/>
    </xf>
    <xf numFmtId="178" fontId="62" fillId="0" borderId="0" xfId="0" applyNumberFormat="1" applyFont="1" applyFill="1" applyBorder="1" applyAlignment="1">
      <alignment vertical="top" readingOrder="1"/>
    </xf>
    <xf numFmtId="178" fontId="62" fillId="0" borderId="29" xfId="0" applyNumberFormat="1" applyFont="1" applyBorder="1" applyAlignment="1">
      <alignment horizontal="center" vertical="top" readingOrder="1"/>
    </xf>
    <xf numFmtId="0" fontId="62" fillId="0" borderId="29" xfId="0" applyFont="1" applyFill="1" applyBorder="1" applyAlignment="1">
      <alignment vertical="top" wrapText="1"/>
    </xf>
    <xf numFmtId="0" fontId="62" fillId="0" borderId="11" xfId="0" applyNumberFormat="1" applyFont="1" applyBorder="1" applyAlignment="1">
      <alignment horizontal="center" vertical="center" readingOrder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49" fontId="62" fillId="0" borderId="29" xfId="0" applyNumberFormat="1" applyFont="1" applyBorder="1" applyAlignment="1">
      <alignment vertical="top" wrapText="1"/>
    </xf>
    <xf numFmtId="49" fontId="62" fillId="0" borderId="16" xfId="0" applyNumberFormat="1" applyFont="1" applyBorder="1" applyAlignment="1">
      <alignment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23" xfId="0" applyNumberFormat="1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Alignment="1">
      <alignment/>
    </xf>
    <xf numFmtId="2" fontId="62" fillId="0" borderId="11" xfId="0" applyNumberFormat="1" applyFont="1" applyFill="1" applyBorder="1" applyAlignment="1">
      <alignment horizontal="center" vertical="top" wrapText="1"/>
    </xf>
    <xf numFmtId="2" fontId="62" fillId="0" borderId="22" xfId="0" applyNumberFormat="1" applyFont="1" applyFill="1" applyBorder="1" applyAlignment="1">
      <alignment horizontal="center" vertical="top" wrapText="1"/>
    </xf>
    <xf numFmtId="2" fontId="62" fillId="0" borderId="23" xfId="0" applyNumberFormat="1" applyFont="1" applyFill="1" applyBorder="1" applyAlignment="1">
      <alignment horizontal="center" vertical="top" wrapText="1"/>
    </xf>
    <xf numFmtId="2" fontId="62" fillId="0" borderId="24" xfId="0" applyNumberFormat="1" applyFont="1" applyFill="1" applyBorder="1" applyAlignment="1">
      <alignment horizontal="center" vertical="top" wrapText="1"/>
    </xf>
    <xf numFmtId="2" fontId="59" fillId="0" borderId="29" xfId="0" applyNumberFormat="1" applyFont="1" applyFill="1" applyBorder="1" applyAlignment="1">
      <alignment horizontal="center" vertical="center" wrapText="1" readingOrder="1"/>
    </xf>
    <xf numFmtId="2" fontId="59" fillId="0" borderId="48" xfId="0" applyNumberFormat="1" applyFont="1" applyFill="1" applyBorder="1" applyAlignment="1">
      <alignment horizontal="center" vertical="top" readingOrder="1"/>
    </xf>
    <xf numFmtId="2" fontId="59" fillId="0" borderId="47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wrapText="1" readingOrder="1"/>
    </xf>
    <xf numFmtId="2" fontId="62" fillId="0" borderId="30" xfId="0" applyNumberFormat="1" applyFont="1" applyBorder="1" applyAlignment="1">
      <alignment horizontal="center" vertical="center" wrapText="1"/>
    </xf>
    <xf numFmtId="2" fontId="59" fillId="0" borderId="32" xfId="0" applyNumberFormat="1" applyFont="1" applyBorder="1" applyAlignment="1">
      <alignment horizontal="center" vertical="center" wrapText="1"/>
    </xf>
    <xf numFmtId="49" fontId="62" fillId="0" borderId="52" xfId="0" applyNumberFormat="1" applyFont="1" applyBorder="1" applyAlignment="1">
      <alignment horizontal="center" vertical="top" wrapText="1"/>
    </xf>
    <xf numFmtId="0" fontId="62" fillId="0" borderId="53" xfId="0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readingOrder="1"/>
    </xf>
    <xf numFmtId="2" fontId="62" fillId="0" borderId="29" xfId="0" applyNumberFormat="1" applyFont="1" applyFill="1" applyBorder="1" applyAlignment="1">
      <alignment horizontal="center" vertical="center" readingOrder="1"/>
    </xf>
    <xf numFmtId="0" fontId="57" fillId="0" borderId="0" xfId="0" applyNumberFormat="1" applyFont="1" applyAlignment="1">
      <alignment horizontal="center" vertical="center" readingOrder="1"/>
    </xf>
    <xf numFmtId="0" fontId="59" fillId="0" borderId="15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vertical="center" wrapText="1" readingOrder="1"/>
    </xf>
    <xf numFmtId="0" fontId="62" fillId="0" borderId="52" xfId="0" applyFont="1" applyBorder="1" applyAlignment="1">
      <alignment horizontal="center" vertical="top" readingOrder="1"/>
    </xf>
    <xf numFmtId="0" fontId="62" fillId="0" borderId="52" xfId="0" applyFont="1" applyBorder="1" applyAlignment="1">
      <alignment vertical="top" readingOrder="1"/>
    </xf>
    <xf numFmtId="0" fontId="62" fillId="0" borderId="52" xfId="0" applyFont="1" applyFill="1" applyBorder="1" applyAlignment="1">
      <alignment horizontal="center" vertical="top" readingOrder="1"/>
    </xf>
    <xf numFmtId="0" fontId="62" fillId="0" borderId="33" xfId="0" applyFont="1" applyBorder="1" applyAlignment="1">
      <alignment vertical="center" wrapText="1" readingOrder="1"/>
    </xf>
    <xf numFmtId="0" fontId="62" fillId="0" borderId="33" xfId="0" applyFont="1" applyBorder="1" applyAlignment="1">
      <alignment horizontal="left" vertical="top" wrapText="1" readingOrder="1"/>
    </xf>
    <xf numFmtId="2" fontId="62" fillId="0" borderId="39" xfId="0" applyNumberFormat="1" applyFont="1" applyFill="1" applyBorder="1" applyAlignment="1">
      <alignment horizontal="center" vertical="center" readingOrder="1"/>
    </xf>
    <xf numFmtId="178" fontId="59" fillId="0" borderId="16" xfId="0" applyNumberFormat="1" applyFont="1" applyBorder="1" applyAlignment="1">
      <alignment horizontal="center" vertical="top" readingOrder="1"/>
    </xf>
    <xf numFmtId="2" fontId="59" fillId="33" borderId="11" xfId="0" applyNumberFormat="1" applyFont="1" applyFill="1" applyBorder="1" applyAlignment="1">
      <alignment horizontal="center" vertical="top" wrapText="1"/>
    </xf>
    <xf numFmtId="178" fontId="62" fillId="33" borderId="12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2" fontId="62" fillId="0" borderId="29" xfId="0" applyNumberFormat="1" applyFont="1" applyFill="1" applyBorder="1" applyAlignment="1">
      <alignment horizontal="center"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Border="1" applyAlignment="1">
      <alignment horizontal="center" vertical="center" wrapText="1"/>
    </xf>
    <xf numFmtId="1" fontId="62" fillId="0" borderId="12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center" wrapText="1" readingOrder="1"/>
    </xf>
    <xf numFmtId="178" fontId="62" fillId="0" borderId="0" xfId="0" applyNumberFormat="1" applyFont="1" applyFill="1" applyBorder="1" applyAlignment="1">
      <alignment horizontal="center" vertical="top" readingOrder="1"/>
    </xf>
    <xf numFmtId="178" fontId="62" fillId="0" borderId="39" xfId="0" applyNumberFormat="1" applyFont="1" applyFill="1" applyBorder="1" applyAlignment="1">
      <alignment horizontal="center" vertical="top" readingOrder="1"/>
    </xf>
    <xf numFmtId="178" fontId="59" fillId="0" borderId="3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vertical="top" readingOrder="1"/>
    </xf>
    <xf numFmtId="2" fontId="59" fillId="0" borderId="29" xfId="0" applyNumberFormat="1" applyFont="1" applyFill="1" applyBorder="1" applyAlignment="1">
      <alignment horizontal="center" vertical="center" readingOrder="1"/>
    </xf>
    <xf numFmtId="178" fontId="62" fillId="0" borderId="30" xfId="0" applyNumberFormat="1" applyFont="1" applyBorder="1" applyAlignment="1">
      <alignment horizontal="center" vertical="center" wrapText="1"/>
    </xf>
    <xf numFmtId="1" fontId="62" fillId="0" borderId="29" xfId="0" applyNumberFormat="1" applyFont="1" applyBorder="1" applyAlignment="1">
      <alignment vertical="center" wrapText="1" readingOrder="1"/>
    </xf>
    <xf numFmtId="1" fontId="62" fillId="0" borderId="16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right" vertical="top" wrapText="1"/>
    </xf>
    <xf numFmtId="1" fontId="62" fillId="0" borderId="29" xfId="0" applyNumberFormat="1" applyFont="1" applyBorder="1" applyAlignment="1">
      <alignment vertical="top" wrapText="1" readingOrder="1"/>
    </xf>
    <xf numFmtId="2" fontId="59" fillId="0" borderId="43" xfId="0" applyNumberFormat="1" applyFont="1" applyBorder="1" applyAlignment="1">
      <alignment horizontal="center" vertical="center" readingOrder="1"/>
    </xf>
    <xf numFmtId="0" fontId="62" fillId="0" borderId="18" xfId="0" applyFont="1" applyBorder="1" applyAlignment="1">
      <alignment horizontal="center" readingOrder="1"/>
    </xf>
    <xf numFmtId="2" fontId="62" fillId="0" borderId="11" xfId="0" applyNumberFormat="1" applyFont="1" applyBorder="1" applyAlignment="1">
      <alignment horizontal="center" vertical="center" readingOrder="1"/>
    </xf>
    <xf numFmtId="0" fontId="62" fillId="0" borderId="19" xfId="0" applyFont="1" applyBorder="1" applyAlignment="1">
      <alignment horizontal="center" readingOrder="1"/>
    </xf>
    <xf numFmtId="2" fontId="62" fillId="0" borderId="23" xfId="0" applyNumberFormat="1" applyFont="1" applyBorder="1" applyAlignment="1">
      <alignment horizontal="center" vertical="center" readingOrder="1"/>
    </xf>
    <xf numFmtId="49" fontId="62" fillId="0" borderId="0" xfId="0" applyNumberFormat="1" applyFont="1" applyAlignment="1">
      <alignment readingOrder="1"/>
    </xf>
    <xf numFmtId="0" fontId="62" fillId="0" borderId="0" xfId="0" applyFont="1" applyAlignment="1">
      <alignment readingOrder="1"/>
    </xf>
    <xf numFmtId="0" fontId="62" fillId="0" borderId="0" xfId="0" applyFont="1" applyAlignment="1">
      <alignment horizontal="center" readingOrder="1"/>
    </xf>
    <xf numFmtId="0" fontId="62" fillId="0" borderId="0" xfId="0" applyFont="1" applyAlignment="1">
      <alignment horizontal="left" readingOrder="1"/>
    </xf>
    <xf numFmtId="0" fontId="62" fillId="0" borderId="0" xfId="0" applyFont="1" applyBorder="1" applyAlignment="1">
      <alignment horizontal="center" vertical="top" readingOrder="1"/>
    </xf>
    <xf numFmtId="0" fontId="62" fillId="0" borderId="0" xfId="0" applyFont="1" applyBorder="1" applyAlignment="1">
      <alignment horizontal="center" readingOrder="1"/>
    </xf>
    <xf numFmtId="0" fontId="62" fillId="0" borderId="29" xfId="0" applyFont="1" applyBorder="1" applyAlignment="1">
      <alignment vertical="center" wrapText="1" readingOrder="1"/>
    </xf>
    <xf numFmtId="0" fontId="62" fillId="0" borderId="16" xfId="0" applyFont="1" applyBorder="1" applyAlignment="1">
      <alignment vertical="center" wrapText="1" readingOrder="1"/>
    </xf>
    <xf numFmtId="49" fontId="62" fillId="0" borderId="52" xfId="0" applyNumberFormat="1" applyFont="1" applyBorder="1" applyAlignment="1">
      <alignment readingOrder="1"/>
    </xf>
    <xf numFmtId="49" fontId="62" fillId="0" borderId="29" xfId="0" applyNumberFormat="1" applyFont="1" applyBorder="1" applyAlignment="1">
      <alignment readingOrder="1"/>
    </xf>
    <xf numFmtId="0" fontId="62" fillId="0" borderId="0" xfId="0" applyFont="1" applyAlignment="1">
      <alignment vertical="top" wrapText="1" readingOrder="1"/>
    </xf>
    <xf numFmtId="2" fontId="59" fillId="0" borderId="11" xfId="0" applyNumberFormat="1" applyFont="1" applyFill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 readingOrder="1"/>
    </xf>
    <xf numFmtId="0" fontId="62" fillId="0" borderId="19" xfId="0" applyFont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59" fillId="33" borderId="43" xfId="0" applyNumberFormat="1" applyFont="1" applyFill="1" applyBorder="1" applyAlignment="1">
      <alignment horizontal="center" vertical="center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59" fillId="33" borderId="44" xfId="0" applyNumberFormat="1" applyFont="1" applyFill="1" applyBorder="1" applyAlignment="1">
      <alignment horizontal="center"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2" fontId="62" fillId="0" borderId="1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readingOrder="1"/>
    </xf>
    <xf numFmtId="0" fontId="60" fillId="0" borderId="0" xfId="0" applyFont="1" applyBorder="1" applyAlignment="1">
      <alignment readingOrder="1"/>
    </xf>
    <xf numFmtId="0" fontId="60" fillId="0" borderId="0" xfId="0" applyFont="1" applyFill="1" applyBorder="1" applyAlignment="1">
      <alignment readingOrder="1"/>
    </xf>
    <xf numFmtId="2" fontId="60" fillId="0" borderId="0" xfId="0" applyNumberFormat="1" applyFont="1" applyAlignment="1">
      <alignment wrapText="1"/>
    </xf>
    <xf numFmtId="0" fontId="60" fillId="0" borderId="0" xfId="0" applyFont="1" applyAlignment="1">
      <alignment wrapText="1"/>
    </xf>
    <xf numFmtId="2" fontId="62" fillId="0" borderId="31" xfId="0" applyNumberFormat="1" applyFont="1" applyFill="1" applyBorder="1" applyAlignment="1">
      <alignment vertical="center" wrapText="1"/>
    </xf>
    <xf numFmtId="2" fontId="62" fillId="0" borderId="11" xfId="0" applyNumberFormat="1" applyFont="1" applyFill="1" applyBorder="1" applyAlignment="1">
      <alignment vertical="center" wrapText="1"/>
    </xf>
    <xf numFmtId="2" fontId="62" fillId="10" borderId="11" xfId="0" applyNumberFormat="1" applyFont="1" applyFill="1" applyBorder="1" applyAlignment="1">
      <alignment horizontal="center" vertical="center" wrapText="1"/>
    </xf>
    <xf numFmtId="2" fontId="59" fillId="10" borderId="11" xfId="0" applyNumberFormat="1" applyFont="1" applyFill="1" applyBorder="1" applyAlignment="1">
      <alignment horizontal="center" vertical="center"/>
    </xf>
    <xf numFmtId="2" fontId="62" fillId="10" borderId="11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vertical="center"/>
    </xf>
    <xf numFmtId="1" fontId="62" fillId="33" borderId="16" xfId="0" applyNumberFormat="1" applyFont="1" applyFill="1" applyBorder="1" applyAlignment="1">
      <alignment horizontal="center" vertical="center" wrapText="1"/>
    </xf>
    <xf numFmtId="0" fontId="62" fillId="33" borderId="16" xfId="0" applyNumberFormat="1" applyFont="1" applyFill="1" applyBorder="1" applyAlignment="1">
      <alignment horizontal="center" vertical="center" wrapText="1"/>
    </xf>
    <xf numFmtId="2" fontId="59" fillId="33" borderId="16" xfId="0" applyNumberFormat="1" applyFont="1" applyFill="1" applyBorder="1" applyAlignment="1">
      <alignment horizontal="center" vertical="center" wrapText="1"/>
    </xf>
    <xf numFmtId="2" fontId="62" fillId="33" borderId="22" xfId="0" applyNumberFormat="1" applyFont="1" applyFill="1" applyBorder="1" applyAlignment="1">
      <alignment horizontal="center" vertical="center" wrapText="1"/>
    </xf>
    <xf numFmtId="2" fontId="62" fillId="33" borderId="23" xfId="0" applyNumberFormat="1" applyFont="1" applyFill="1" applyBorder="1" applyAlignment="1">
      <alignment horizontal="center" vertical="center" wrapText="1"/>
    </xf>
    <xf numFmtId="2" fontId="62" fillId="33" borderId="24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vertical="center"/>
    </xf>
    <xf numFmtId="2" fontId="62" fillId="0" borderId="12" xfId="0" applyNumberFormat="1" applyFont="1" applyFill="1" applyBorder="1" applyAlignment="1">
      <alignment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2" fontId="62" fillId="0" borderId="23" xfId="0" applyNumberFormat="1" applyFont="1" applyFill="1" applyBorder="1" applyAlignment="1">
      <alignment horizontal="center" vertical="center" wrapText="1"/>
    </xf>
    <xf numFmtId="2" fontId="59" fillId="0" borderId="52" xfId="0" applyNumberFormat="1" applyFont="1" applyFill="1" applyBorder="1" applyAlignment="1">
      <alignment vertical="center" wrapText="1"/>
    </xf>
    <xf numFmtId="2" fontId="59" fillId="0" borderId="0" xfId="0" applyNumberFormat="1" applyFont="1" applyFill="1" applyBorder="1" applyAlignment="1">
      <alignment vertical="center" wrapText="1"/>
    </xf>
    <xf numFmtId="2" fontId="59" fillId="10" borderId="43" xfId="0" applyNumberFormat="1" applyFont="1" applyFill="1" applyBorder="1" applyAlignment="1">
      <alignment horizontal="center" vertical="center" wrapText="1"/>
    </xf>
    <xf numFmtId="2" fontId="59" fillId="10" borderId="43" xfId="0" applyNumberFormat="1" applyFont="1" applyFill="1" applyBorder="1" applyAlignment="1">
      <alignment horizontal="center" vertical="center"/>
    </xf>
    <xf numFmtId="2" fontId="59" fillId="10" borderId="44" xfId="0" applyNumberFormat="1" applyFont="1" applyFill="1" applyBorder="1" applyAlignment="1">
      <alignment horizontal="center" vertical="center"/>
    </xf>
    <xf numFmtId="2" fontId="62" fillId="10" borderId="22" xfId="0" applyNumberFormat="1" applyFont="1" applyFill="1" applyBorder="1" applyAlignment="1">
      <alignment horizontal="center" vertical="center"/>
    </xf>
    <xf numFmtId="2" fontId="62" fillId="10" borderId="23" xfId="0" applyNumberFormat="1" applyFont="1" applyFill="1" applyBorder="1" applyAlignment="1">
      <alignment horizontal="center" vertical="center" wrapText="1"/>
    </xf>
    <xf numFmtId="2" fontId="59" fillId="10" borderId="23" xfId="0" applyNumberFormat="1" applyFont="1" applyFill="1" applyBorder="1" applyAlignment="1">
      <alignment horizontal="center" vertical="center"/>
    </xf>
    <xf numFmtId="2" fontId="62" fillId="10" borderId="23" xfId="0" applyNumberFormat="1" applyFont="1" applyFill="1" applyBorder="1" applyAlignment="1">
      <alignment horizontal="center" vertical="center"/>
    </xf>
    <xf numFmtId="2" fontId="62" fillId="10" borderId="24" xfId="0" applyNumberFormat="1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top" wrapText="1"/>
    </xf>
    <xf numFmtId="49" fontId="62" fillId="0" borderId="33" xfId="0" applyNumberFormat="1" applyFont="1" applyFill="1" applyBorder="1" applyAlignment="1">
      <alignment vertical="center" wrapText="1" readingOrder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52" xfId="0" applyNumberFormat="1" applyFont="1" applyFill="1" applyBorder="1" applyAlignment="1">
      <alignment vertical="top" wrapText="1" readingOrder="1"/>
    </xf>
    <xf numFmtId="49" fontId="62" fillId="0" borderId="52" xfId="0" applyNumberFormat="1" applyFont="1" applyFill="1" applyBorder="1" applyAlignment="1">
      <alignment horizontal="left" vertical="top" wrapText="1" readingOrder="1"/>
    </xf>
    <xf numFmtId="178" fontId="62" fillId="0" borderId="0" xfId="0" applyNumberFormat="1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top" wrapText="1"/>
    </xf>
    <xf numFmtId="178" fontId="62" fillId="0" borderId="53" xfId="0" applyNumberFormat="1" applyFont="1" applyFill="1" applyBorder="1" applyAlignment="1">
      <alignment horizontal="center" vertical="center" wrapText="1" readingOrder="1"/>
    </xf>
    <xf numFmtId="2" fontId="62" fillId="0" borderId="3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top" wrapText="1"/>
    </xf>
    <xf numFmtId="49" fontId="62" fillId="0" borderId="39" xfId="0" applyNumberFormat="1" applyFont="1" applyFill="1" applyBorder="1" applyAlignment="1">
      <alignment horizontal="center" vertical="center" wrapText="1" readingOrder="1"/>
    </xf>
    <xf numFmtId="2" fontId="62" fillId="0" borderId="0" xfId="0" applyNumberFormat="1" applyFont="1" applyBorder="1" applyAlignment="1">
      <alignment horizontal="center" vertical="center" wrapText="1"/>
    </xf>
    <xf numFmtId="2" fontId="59" fillId="0" borderId="46" xfId="0" applyNumberFormat="1" applyFont="1" applyBorder="1" applyAlignment="1">
      <alignment horizontal="center" vertical="center" wrapText="1"/>
    </xf>
    <xf numFmtId="2" fontId="62" fillId="0" borderId="53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vertical="top" wrapText="1" readingOrder="1"/>
    </xf>
    <xf numFmtId="0" fontId="62" fillId="0" borderId="17" xfId="0" applyFont="1" applyBorder="1" applyAlignment="1">
      <alignment horizontal="center" vertical="top" wrapText="1"/>
    </xf>
    <xf numFmtId="2" fontId="62" fillId="33" borderId="11" xfId="0" applyNumberFormat="1" applyFont="1" applyFill="1" applyBorder="1" applyAlignment="1">
      <alignment horizontal="center" vertical="center" wrapText="1"/>
    </xf>
    <xf numFmtId="2" fontId="62" fillId="33" borderId="16" xfId="0" applyNumberFormat="1" applyFont="1" applyFill="1" applyBorder="1" applyAlignment="1">
      <alignment horizontal="center" vertical="center" wrapText="1"/>
    </xf>
    <xf numFmtId="2" fontId="59" fillId="0" borderId="43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60" fillId="0" borderId="0" xfId="0" applyNumberFormat="1" applyFont="1" applyFill="1" applyAlignment="1">
      <alignment/>
    </xf>
    <xf numFmtId="2" fontId="59" fillId="6" borderId="43" xfId="0" applyNumberFormat="1" applyFont="1" applyFill="1" applyBorder="1" applyAlignment="1">
      <alignment horizontal="center" vertical="center" wrapText="1"/>
    </xf>
    <xf numFmtId="2" fontId="59" fillId="6" borderId="44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59" fillId="6" borderId="11" xfId="0" applyNumberFormat="1" applyFont="1" applyFill="1" applyBorder="1" applyAlignment="1">
      <alignment horizontal="center" vertical="center" wrapText="1"/>
    </xf>
    <xf numFmtId="2" fontId="62" fillId="6" borderId="22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2" fontId="59" fillId="6" borderId="23" xfId="0" applyNumberFormat="1" applyFont="1" applyFill="1" applyBorder="1" applyAlignment="1">
      <alignment horizontal="center" vertical="center" wrapText="1"/>
    </xf>
    <xf numFmtId="2" fontId="62" fillId="6" borderId="24" xfId="0" applyNumberFormat="1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top" wrapText="1"/>
    </xf>
    <xf numFmtId="2" fontId="59" fillId="6" borderId="16" xfId="0" applyNumberFormat="1" applyFont="1" applyFill="1" applyBorder="1" applyAlignment="1">
      <alignment horizontal="center" vertical="center" wrapText="1"/>
    </xf>
    <xf numFmtId="2" fontId="59" fillId="6" borderId="12" xfId="0" applyNumberFormat="1" applyFont="1" applyFill="1" applyBorder="1" applyAlignment="1">
      <alignment horizontal="center" vertical="center" wrapText="1"/>
    </xf>
    <xf numFmtId="2" fontId="59" fillId="6" borderId="0" xfId="0" applyNumberFormat="1" applyFont="1" applyFill="1" applyBorder="1" applyAlignment="1">
      <alignment vertical="center" wrapText="1"/>
    </xf>
    <xf numFmtId="2" fontId="60" fillId="6" borderId="0" xfId="0" applyNumberFormat="1" applyFont="1" applyFill="1" applyAlignment="1">
      <alignment/>
    </xf>
    <xf numFmtId="178" fontId="62" fillId="33" borderId="18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readingOrder="1"/>
    </xf>
    <xf numFmtId="178" fontId="57" fillId="0" borderId="11" xfId="0" applyNumberFormat="1" applyFont="1" applyBorder="1" applyAlignment="1">
      <alignment horizontal="center" vertical="top" readingOrder="1"/>
    </xf>
    <xf numFmtId="2" fontId="62" fillId="0" borderId="23" xfId="0" applyNumberFormat="1" applyFont="1" applyFill="1" applyBorder="1" applyAlignment="1">
      <alignment horizontal="center" vertical="top" readingOrder="1"/>
    </xf>
    <xf numFmtId="2" fontId="59" fillId="0" borderId="15" xfId="0" applyNumberFormat="1" applyFont="1" applyBorder="1" applyAlignment="1">
      <alignment horizontal="center" vertical="center" wrapText="1"/>
    </xf>
    <xf numFmtId="2" fontId="62" fillId="0" borderId="32" xfId="0" applyNumberFormat="1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top" wrapText="1" readingOrder="1"/>
    </xf>
    <xf numFmtId="2" fontId="62" fillId="0" borderId="39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0" fontId="59" fillId="0" borderId="54" xfId="0" applyFont="1" applyBorder="1" applyAlignment="1">
      <alignment horizontal="center" vertical="top" wrapText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178" fontId="62" fillId="0" borderId="2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" fontId="62" fillId="0" borderId="12" xfId="0" applyNumberFormat="1" applyFont="1" applyBorder="1" applyAlignment="1">
      <alignment horizontal="center" vertical="center" wrapText="1" readingOrder="1"/>
    </xf>
    <xf numFmtId="0" fontId="62" fillId="0" borderId="52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178" fontId="62" fillId="0" borderId="39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top" wrapText="1"/>
    </xf>
    <xf numFmtId="2" fontId="62" fillId="0" borderId="39" xfId="0" applyNumberFormat="1" applyFont="1" applyBorder="1" applyAlignment="1">
      <alignment horizontal="center" vertical="center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readingOrder="1"/>
    </xf>
    <xf numFmtId="0" fontId="62" fillId="0" borderId="52" xfId="0" applyFont="1" applyBorder="1" applyAlignment="1">
      <alignment horizontal="center" vertical="top" wrapText="1" readingOrder="1"/>
    </xf>
    <xf numFmtId="0" fontId="62" fillId="0" borderId="29" xfId="0" applyFont="1" applyBorder="1" applyAlignment="1">
      <alignment horizontal="left" vertical="top" wrapText="1" readingOrder="1"/>
    </xf>
    <xf numFmtId="0" fontId="59" fillId="0" borderId="52" xfId="0" applyFont="1" applyBorder="1" applyAlignment="1">
      <alignment horizontal="center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59" fillId="0" borderId="12" xfId="0" applyFont="1" applyFill="1" applyBorder="1" applyAlignment="1">
      <alignment vertical="top" wrapText="1"/>
    </xf>
    <xf numFmtId="2" fontId="62" fillId="0" borderId="11" xfId="0" applyNumberFormat="1" applyFont="1" applyFill="1" applyBorder="1" applyAlignment="1">
      <alignment horizontal="center" vertical="top" readingOrder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59" fillId="0" borderId="0" xfId="34" applyNumberFormat="1" applyFont="1" applyFill="1" applyBorder="1" applyProtection="1">
      <alignment horizontal="left" vertical="top" wrapText="1"/>
      <protection/>
    </xf>
    <xf numFmtId="49" fontId="62" fillId="0" borderId="0" xfId="34" applyNumberFormat="1" applyFont="1" applyFill="1" applyBorder="1" applyProtection="1">
      <alignment horizontal="left" vertical="top" wrapText="1"/>
      <protection/>
    </xf>
    <xf numFmtId="49" fontId="62" fillId="33" borderId="0" xfId="34" applyNumberFormat="1" applyFont="1" applyFill="1" applyBorder="1" applyProtection="1">
      <alignment horizontal="left" vertical="top" wrapText="1"/>
      <protection/>
    </xf>
    <xf numFmtId="49" fontId="59" fillId="33" borderId="0" xfId="34" applyNumberFormat="1" applyFont="1" applyFill="1" applyBorder="1" applyProtection="1">
      <alignment horizontal="left" vertical="top" wrapText="1"/>
      <protection/>
    </xf>
    <xf numFmtId="2" fontId="59" fillId="0" borderId="44" xfId="0" applyNumberFormat="1" applyFont="1" applyBorder="1" applyAlignment="1">
      <alignment horizontal="center" vertical="center" wrapText="1"/>
    </xf>
    <xf numFmtId="2" fontId="62" fillId="0" borderId="22" xfId="0" applyNumberFormat="1" applyFont="1" applyBorder="1" applyAlignment="1">
      <alignment horizontal="center" vertical="center" readingOrder="1"/>
    </xf>
    <xf numFmtId="2" fontId="62" fillId="0" borderId="24" xfId="0" applyNumberFormat="1" applyFont="1" applyBorder="1" applyAlignment="1">
      <alignment horizontal="center" vertical="center" readingOrder="1"/>
    </xf>
    <xf numFmtId="0" fontId="57" fillId="0" borderId="22" xfId="0" applyFont="1" applyBorder="1" applyAlignment="1">
      <alignment horizontal="center" vertical="top" readingOrder="1"/>
    </xf>
    <xf numFmtId="0" fontId="0" fillId="0" borderId="39" xfId="0" applyFont="1" applyBorder="1" applyAlignment="1">
      <alignment/>
    </xf>
    <xf numFmtId="178" fontId="57" fillId="0" borderId="22" xfId="0" applyNumberFormat="1" applyFont="1" applyBorder="1" applyAlignment="1">
      <alignment horizontal="center" vertical="top" readingOrder="1"/>
    </xf>
    <xf numFmtId="2" fontId="62" fillId="0" borderId="22" xfId="0" applyNumberFormat="1" applyFont="1" applyFill="1" applyBorder="1" applyAlignment="1">
      <alignment horizontal="center" vertical="top" readingOrder="1"/>
    </xf>
    <xf numFmtId="2" fontId="62" fillId="0" borderId="24" xfId="0" applyNumberFormat="1" applyFont="1" applyFill="1" applyBorder="1" applyAlignment="1">
      <alignment horizontal="center" vertical="top" readingOrder="1"/>
    </xf>
    <xf numFmtId="0" fontId="0" fillId="0" borderId="30" xfId="0" applyFont="1" applyBorder="1" applyAlignment="1">
      <alignment/>
    </xf>
    <xf numFmtId="0" fontId="59" fillId="33" borderId="12" xfId="0" applyFont="1" applyFill="1" applyBorder="1" applyAlignment="1">
      <alignment vertical="top" wrapText="1"/>
    </xf>
    <xf numFmtId="2" fontId="59" fillId="33" borderId="12" xfId="0" applyNumberFormat="1" applyFont="1" applyFill="1" applyBorder="1" applyAlignment="1">
      <alignment horizontal="center" vertical="center" wrapText="1" readingOrder="1"/>
    </xf>
    <xf numFmtId="0" fontId="62" fillId="33" borderId="29" xfId="0" applyFont="1" applyFill="1" applyBorder="1" applyAlignment="1">
      <alignment horizontal="center" vertical="top" wrapText="1"/>
    </xf>
    <xf numFmtId="2" fontId="62" fillId="33" borderId="29" xfId="0" applyNumberFormat="1" applyFont="1" applyFill="1" applyBorder="1" applyAlignment="1">
      <alignment horizontal="center" vertical="center" wrapText="1" readingOrder="1"/>
    </xf>
    <xf numFmtId="2" fontId="62" fillId="33" borderId="29" xfId="0" applyNumberFormat="1" applyFont="1" applyFill="1" applyBorder="1" applyAlignment="1">
      <alignment horizontal="center" vertical="center" wrapText="1"/>
    </xf>
    <xf numFmtId="2" fontId="62" fillId="33" borderId="39" xfId="0" applyNumberFormat="1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2" fontId="59" fillId="33" borderId="23" xfId="0" applyNumberFormat="1" applyFont="1" applyFill="1" applyBorder="1" applyAlignment="1">
      <alignment horizontal="center" vertical="center" wrapText="1"/>
    </xf>
    <xf numFmtId="49" fontId="62" fillId="33" borderId="11" xfId="0" applyNumberFormat="1" applyFont="1" applyFill="1" applyBorder="1" applyAlignment="1">
      <alignment horizontal="center" vertical="center" wrapText="1" readingOrder="1"/>
    </xf>
    <xf numFmtId="2" fontId="62" fillId="33" borderId="30" xfId="0" applyNumberFormat="1" applyFont="1" applyFill="1" applyBorder="1" applyAlignment="1">
      <alignment horizontal="center" vertical="center" wrapText="1"/>
    </xf>
    <xf numFmtId="49" fontId="62" fillId="33" borderId="33" xfId="0" applyNumberFormat="1" applyFont="1" applyFill="1" applyBorder="1" applyAlignment="1">
      <alignment horizontal="center" vertical="top" wrapText="1" readingOrder="1"/>
    </xf>
    <xf numFmtId="0" fontId="0" fillId="33" borderId="29" xfId="0" applyFont="1" applyFill="1" applyBorder="1" applyAlignment="1">
      <alignment wrapText="1" readingOrder="1"/>
    </xf>
    <xf numFmtId="0" fontId="0" fillId="33" borderId="29" xfId="0" applyFont="1" applyFill="1" applyBorder="1" applyAlignment="1">
      <alignment horizontal="center" wrapText="1" readingOrder="1"/>
    </xf>
    <xf numFmtId="2" fontId="62" fillId="33" borderId="16" xfId="0" applyNumberFormat="1" applyFont="1" applyFill="1" applyBorder="1" applyAlignment="1">
      <alignment horizontal="center" vertical="top" wrapText="1"/>
    </xf>
    <xf numFmtId="0" fontId="62" fillId="33" borderId="39" xfId="0" applyFont="1" applyFill="1" applyBorder="1" applyAlignment="1">
      <alignment horizontal="center" vertical="center" wrapText="1"/>
    </xf>
    <xf numFmtId="2" fontId="62" fillId="33" borderId="0" xfId="0" applyNumberFormat="1" applyFont="1" applyFill="1" applyBorder="1" applyAlignment="1">
      <alignment horizontal="center" vertical="top" wrapText="1"/>
    </xf>
    <xf numFmtId="2" fontId="62" fillId="33" borderId="29" xfId="0" applyNumberFormat="1" applyFont="1" applyFill="1" applyBorder="1" applyAlignment="1">
      <alignment horizontal="center" vertical="top" wrapText="1"/>
    </xf>
    <xf numFmtId="2" fontId="62" fillId="33" borderId="39" xfId="0" applyNumberFormat="1" applyFont="1" applyFill="1" applyBorder="1" applyAlignment="1">
      <alignment horizontal="center" vertical="top" wrapText="1"/>
    </xf>
    <xf numFmtId="2" fontId="62" fillId="33" borderId="53" xfId="0" applyNumberFormat="1" applyFont="1" applyFill="1" applyBorder="1" applyAlignment="1">
      <alignment horizontal="center" vertical="top" wrapText="1"/>
    </xf>
    <xf numFmtId="2" fontId="62" fillId="33" borderId="30" xfId="0" applyNumberFormat="1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 readingOrder="1"/>
    </xf>
    <xf numFmtId="2" fontId="62" fillId="0" borderId="29" xfId="0" applyNumberFormat="1" applyFont="1" applyFill="1" applyBorder="1" applyAlignment="1">
      <alignment horizontal="center" vertical="top" readingOrder="1"/>
    </xf>
    <xf numFmtId="49" fontId="60" fillId="0" borderId="0" xfId="0" applyNumberFormat="1" applyFont="1" applyFill="1" applyBorder="1" applyAlignment="1">
      <alignment readingOrder="1"/>
    </xf>
    <xf numFmtId="0" fontId="62" fillId="33" borderId="29" xfId="0" applyFont="1" applyFill="1" applyBorder="1" applyAlignment="1">
      <alignment horizontal="center" vertical="top" wrapText="1"/>
    </xf>
    <xf numFmtId="2" fontId="59" fillId="0" borderId="12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readingOrder="1"/>
    </xf>
    <xf numFmtId="2" fontId="62" fillId="0" borderId="16" xfId="0" applyNumberFormat="1" applyFont="1" applyFill="1" applyBorder="1" applyAlignment="1">
      <alignment horizontal="center" vertical="top" readingOrder="1"/>
    </xf>
    <xf numFmtId="49" fontId="62" fillId="33" borderId="12" xfId="0" applyNumberFormat="1" applyFont="1" applyFill="1" applyBorder="1" applyAlignment="1">
      <alignment horizontal="center" wrapText="1" readingOrder="1"/>
    </xf>
    <xf numFmtId="0" fontId="59" fillId="0" borderId="12" xfId="0" applyFont="1" applyFill="1" applyBorder="1" applyAlignment="1">
      <alignment horizontal="center" vertical="top" wrapText="1" readingOrder="1"/>
    </xf>
    <xf numFmtId="2" fontId="59" fillId="33" borderId="12" xfId="0" applyNumberFormat="1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vertical="top" wrapText="1"/>
    </xf>
    <xf numFmtId="0" fontId="62" fillId="33" borderId="52" xfId="0" applyFont="1" applyFill="1" applyBorder="1" applyAlignment="1">
      <alignment horizontal="center" vertical="top" wrapText="1"/>
    </xf>
    <xf numFmtId="0" fontId="62" fillId="33" borderId="31" xfId="0" applyFont="1" applyFill="1" applyBorder="1" applyAlignment="1">
      <alignment horizontal="center" vertical="top" wrapText="1"/>
    </xf>
    <xf numFmtId="2" fontId="59" fillId="33" borderId="32" xfId="0" applyNumberFormat="1" applyFont="1" applyFill="1" applyBorder="1" applyAlignment="1">
      <alignment horizontal="center" vertical="top" wrapText="1"/>
    </xf>
    <xf numFmtId="2" fontId="59" fillId="33" borderId="29" xfId="0" applyNumberFormat="1" applyFont="1" applyFill="1" applyBorder="1" applyAlignment="1">
      <alignment horizontal="center" vertical="center" wrapText="1" readingOrder="1"/>
    </xf>
    <xf numFmtId="0" fontId="62" fillId="33" borderId="0" xfId="0" applyFont="1" applyFill="1" applyBorder="1" applyAlignment="1">
      <alignment horizontal="center" vertical="top" wrapText="1"/>
    </xf>
    <xf numFmtId="0" fontId="62" fillId="33" borderId="53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center" wrapText="1"/>
    </xf>
    <xf numFmtId="2" fontId="59" fillId="6" borderId="40" xfId="0" applyNumberFormat="1" applyFont="1" applyFill="1" applyBorder="1" applyAlignment="1">
      <alignment horizontal="center" vertical="center" wrapText="1"/>
    </xf>
    <xf numFmtId="2" fontId="59" fillId="6" borderId="29" xfId="0" applyNumberFormat="1" applyFont="1" applyFill="1" applyBorder="1" applyAlignment="1">
      <alignment horizontal="center" vertical="center" wrapText="1"/>
    </xf>
    <xf numFmtId="2" fontId="59" fillId="6" borderId="51" xfId="0" applyNumberFormat="1" applyFont="1" applyFill="1" applyBorder="1" applyAlignment="1">
      <alignment horizontal="center" vertical="center" wrapText="1"/>
    </xf>
    <xf numFmtId="1" fontId="62" fillId="6" borderId="17" xfId="0" applyNumberFormat="1" applyFont="1" applyFill="1" applyBorder="1" applyAlignment="1">
      <alignment horizontal="center" vertical="center" wrapText="1"/>
    </xf>
    <xf numFmtId="1" fontId="62" fillId="6" borderId="18" xfId="0" applyNumberFormat="1" applyFont="1" applyFill="1" applyBorder="1" applyAlignment="1">
      <alignment horizontal="center" vertical="center" wrapText="1"/>
    </xf>
    <xf numFmtId="1" fontId="62" fillId="6" borderId="19" xfId="0" applyNumberFormat="1" applyFont="1" applyFill="1" applyBorder="1" applyAlignment="1">
      <alignment horizontal="center" vertical="center" wrapText="1"/>
    </xf>
    <xf numFmtId="0" fontId="62" fillId="6" borderId="40" xfId="0" applyNumberFormat="1" applyFont="1" applyFill="1" applyBorder="1" applyAlignment="1">
      <alignment horizontal="center" vertical="center" wrapText="1"/>
    </xf>
    <xf numFmtId="0" fontId="62" fillId="6" borderId="29" xfId="0" applyNumberFormat="1" applyFont="1" applyFill="1" applyBorder="1" applyAlignment="1">
      <alignment horizontal="center" vertical="center" wrapText="1"/>
    </xf>
    <xf numFmtId="0" fontId="62" fillId="6" borderId="51" xfId="0" applyNumberFormat="1" applyFont="1" applyFill="1" applyBorder="1" applyAlignment="1">
      <alignment horizontal="center" vertical="center" wrapText="1"/>
    </xf>
    <xf numFmtId="2" fontId="62" fillId="33" borderId="43" xfId="0" applyNumberFormat="1" applyFont="1" applyFill="1" applyBorder="1" applyAlignment="1">
      <alignment horizontal="center" vertical="center" wrapText="1"/>
    </xf>
    <xf numFmtId="2" fontId="62" fillId="33" borderId="23" xfId="0" applyNumberFormat="1" applyFont="1" applyFill="1" applyBorder="1" applyAlignment="1">
      <alignment horizontal="center" vertical="center" wrapText="1"/>
    </xf>
    <xf numFmtId="2" fontId="62" fillId="6" borderId="43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0" fontId="62" fillId="33" borderId="40" xfId="0" applyNumberFormat="1" applyFont="1" applyFill="1" applyBorder="1" applyAlignment="1">
      <alignment horizontal="center" vertical="center" textRotation="90" wrapText="1"/>
    </xf>
    <xf numFmtId="0" fontId="62" fillId="33" borderId="29" xfId="0" applyNumberFormat="1" applyFont="1" applyFill="1" applyBorder="1" applyAlignment="1">
      <alignment horizontal="center" vertical="center" textRotation="90" wrapText="1"/>
    </xf>
    <xf numFmtId="0" fontId="62" fillId="33" borderId="51" xfId="0" applyNumberFormat="1" applyFont="1" applyFill="1" applyBorder="1" applyAlignment="1">
      <alignment horizontal="center" vertical="center" textRotation="90" wrapText="1"/>
    </xf>
    <xf numFmtId="1" fontId="62" fillId="33" borderId="17" xfId="0" applyNumberFormat="1" applyFont="1" applyFill="1" applyBorder="1" applyAlignment="1">
      <alignment horizontal="center" vertical="center" wrapText="1"/>
    </xf>
    <xf numFmtId="1" fontId="62" fillId="33" borderId="19" xfId="0" applyNumberFormat="1" applyFont="1" applyFill="1" applyBorder="1" applyAlignment="1">
      <alignment horizontal="center" vertical="center" wrapText="1"/>
    </xf>
    <xf numFmtId="0" fontId="62" fillId="0" borderId="40" xfId="0" applyNumberFormat="1" applyFont="1" applyFill="1" applyBorder="1" applyAlignment="1">
      <alignment horizontal="center" vertical="center" textRotation="90" wrapText="1"/>
    </xf>
    <xf numFmtId="0" fontId="62" fillId="0" borderId="29" xfId="0" applyNumberFormat="1" applyFont="1" applyFill="1" applyBorder="1" applyAlignment="1">
      <alignment horizontal="center" vertical="center" textRotation="90" wrapText="1"/>
    </xf>
    <xf numFmtId="0" fontId="62" fillId="0" borderId="51" xfId="0" applyNumberFormat="1" applyFont="1" applyFill="1" applyBorder="1" applyAlignment="1">
      <alignment horizontal="center" vertical="center" textRotation="90" wrapText="1"/>
    </xf>
    <xf numFmtId="2" fontId="62" fillId="0" borderId="55" xfId="0" applyNumberFormat="1" applyFont="1" applyFill="1" applyBorder="1" applyAlignment="1">
      <alignment horizontal="center" vertical="center" wrapText="1"/>
    </xf>
    <xf numFmtId="2" fontId="62" fillId="0" borderId="39" xfId="0" applyNumberFormat="1" applyFont="1" applyFill="1" applyBorder="1" applyAlignment="1">
      <alignment horizontal="center" vertical="center" wrapText="1"/>
    </xf>
    <xf numFmtId="2" fontId="62" fillId="0" borderId="56" xfId="0" applyNumberFormat="1" applyFont="1" applyFill="1" applyBorder="1" applyAlignment="1">
      <alignment horizontal="center" vertical="center" wrapText="1"/>
    </xf>
    <xf numFmtId="1" fontId="60" fillId="0" borderId="41" xfId="0" applyNumberFormat="1" applyFont="1" applyBorder="1" applyAlignment="1">
      <alignment horizontal="center"/>
    </xf>
    <xf numFmtId="1" fontId="60" fillId="0" borderId="57" xfId="0" applyNumberFormat="1" applyFont="1" applyBorder="1" applyAlignment="1">
      <alignment horizontal="center"/>
    </xf>
    <xf numFmtId="1" fontId="60" fillId="0" borderId="58" xfId="0" applyNumberFormat="1" applyFont="1" applyBorder="1" applyAlignment="1">
      <alignment horizontal="center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2" fontId="62" fillId="6" borderId="40" xfId="0" applyNumberFormat="1" applyFont="1" applyFill="1" applyBorder="1" applyAlignment="1">
      <alignment horizontal="center" vertical="center" wrapText="1"/>
    </xf>
    <xf numFmtId="2" fontId="62" fillId="6" borderId="5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1" fontId="62" fillId="6" borderId="41" xfId="0" applyNumberFormat="1" applyFont="1" applyFill="1" applyBorder="1" applyAlignment="1">
      <alignment horizontal="center" vertical="center" wrapText="1"/>
    </xf>
    <xf numFmtId="1" fontId="62" fillId="6" borderId="58" xfId="0" applyNumberFormat="1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2" fontId="62" fillId="33" borderId="1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1" fontId="62" fillId="33" borderId="18" xfId="0" applyNumberFormat="1" applyFont="1" applyFill="1" applyBorder="1" applyAlignment="1">
      <alignment horizontal="center" vertical="center" wrapText="1"/>
    </xf>
    <xf numFmtId="178" fontId="62" fillId="13" borderId="52" xfId="0" applyNumberFormat="1" applyFont="1" applyFill="1" applyBorder="1" applyAlignment="1">
      <alignment horizontal="center" vertical="center" wrapText="1"/>
    </xf>
    <xf numFmtId="178" fontId="62" fillId="13" borderId="39" xfId="0" applyNumberFormat="1" applyFont="1" applyFill="1" applyBorder="1" applyAlignment="1">
      <alignment horizontal="center" vertical="center" wrapText="1"/>
    </xf>
    <xf numFmtId="178" fontId="67" fillId="33" borderId="11" xfId="0" applyNumberFormat="1" applyFont="1" applyFill="1" applyBorder="1" applyAlignment="1">
      <alignment horizontal="center" vertical="center" wrapText="1"/>
    </xf>
    <xf numFmtId="1" fontId="62" fillId="33" borderId="11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59" fillId="33" borderId="50" xfId="0" applyFont="1" applyFill="1" applyBorder="1" applyAlignment="1">
      <alignment horizontal="left"/>
    </xf>
    <xf numFmtId="0" fontId="59" fillId="33" borderId="54" xfId="0" applyFont="1" applyFill="1" applyBorder="1" applyAlignment="1">
      <alignment horizontal="left"/>
    </xf>
    <xf numFmtId="0" fontId="59" fillId="33" borderId="33" xfId="0" applyFont="1" applyFill="1" applyBorder="1" applyAlignment="1">
      <alignment horizontal="left"/>
    </xf>
    <xf numFmtId="178" fontId="59" fillId="33" borderId="50" xfId="0" applyNumberFormat="1" applyFont="1" applyFill="1" applyBorder="1" applyAlignment="1">
      <alignment horizontal="left" vertical="center"/>
    </xf>
    <xf numFmtId="178" fontId="59" fillId="33" borderId="54" xfId="0" applyNumberFormat="1" applyFont="1" applyFill="1" applyBorder="1" applyAlignment="1">
      <alignment horizontal="left" vertical="center"/>
    </xf>
    <xf numFmtId="178" fontId="59" fillId="33" borderId="33" xfId="0" applyNumberFormat="1" applyFont="1" applyFill="1" applyBorder="1" applyAlignment="1">
      <alignment horizontal="left" vertical="center"/>
    </xf>
    <xf numFmtId="178" fontId="62" fillId="0" borderId="50" xfId="0" applyNumberFormat="1" applyFont="1" applyBorder="1" applyAlignment="1">
      <alignment horizontal="center" vertical="top" wrapText="1"/>
    </xf>
    <xf numFmtId="178" fontId="62" fillId="0" borderId="54" xfId="0" applyNumberFormat="1" applyFont="1" applyBorder="1" applyAlignment="1">
      <alignment horizontal="center" vertical="top" wrapText="1"/>
    </xf>
    <xf numFmtId="178" fontId="62" fillId="0" borderId="33" xfId="0" applyNumberFormat="1" applyFont="1" applyBorder="1" applyAlignment="1">
      <alignment horizontal="center" vertical="top" wrapText="1"/>
    </xf>
    <xf numFmtId="0" fontId="62" fillId="33" borderId="11" xfId="0" applyFont="1" applyFill="1" applyBorder="1" applyAlignment="1">
      <alignment horizontal="center"/>
    </xf>
    <xf numFmtId="0" fontId="66" fillId="33" borderId="52" xfId="0" applyFont="1" applyFill="1" applyBorder="1" applyAlignment="1">
      <alignment horizontal="center" vertical="center" wrapText="1"/>
    </xf>
    <xf numFmtId="0" fontId="68" fillId="33" borderId="52" xfId="0" applyFont="1" applyFill="1" applyBorder="1" applyAlignment="1">
      <alignment horizontal="center" vertical="top" wrapText="1"/>
    </xf>
    <xf numFmtId="0" fontId="68" fillId="33" borderId="0" xfId="0" applyFont="1" applyFill="1" applyBorder="1" applyAlignment="1">
      <alignment horizontal="center" vertical="top" wrapText="1"/>
    </xf>
    <xf numFmtId="0" fontId="68" fillId="33" borderId="31" xfId="0" applyFont="1" applyFill="1" applyBorder="1" applyAlignment="1">
      <alignment horizontal="center" vertical="top" wrapText="1"/>
    </xf>
    <xf numFmtId="0" fontId="68" fillId="33" borderId="53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 readingOrder="1"/>
    </xf>
    <xf numFmtId="0" fontId="3" fillId="0" borderId="12" xfId="0" applyFont="1" applyFill="1" applyBorder="1" applyAlignment="1">
      <alignment horizontal="center" vertical="top" wrapText="1" readingOrder="1"/>
    </xf>
    <xf numFmtId="49" fontId="62" fillId="33" borderId="11" xfId="0" applyNumberFormat="1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0" fontId="62" fillId="33" borderId="12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29" xfId="0" applyFont="1" applyFill="1" applyBorder="1" applyAlignment="1">
      <alignment horizontal="left" vertical="top" wrapText="1" readingOrder="1"/>
    </xf>
    <xf numFmtId="0" fontId="62" fillId="0" borderId="16" xfId="0" applyFont="1" applyFill="1" applyBorder="1" applyAlignment="1">
      <alignment horizontal="left" vertical="top" wrapText="1" readingOrder="1"/>
    </xf>
    <xf numFmtId="49" fontId="62" fillId="33" borderId="12" xfId="0" applyNumberFormat="1" applyFont="1" applyFill="1" applyBorder="1" applyAlignment="1">
      <alignment horizontal="left" vertical="top" wrapText="1" readingOrder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59" fillId="0" borderId="0" xfId="33" applyNumberFormat="1" applyFont="1" applyBorder="1" applyAlignment="1" applyProtection="1">
      <alignment horizontal="center" vertical="center" wrapText="1"/>
      <protection locked="0"/>
    </xf>
    <xf numFmtId="0" fontId="59" fillId="0" borderId="0" xfId="33" applyFont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readingOrder="1"/>
    </xf>
    <xf numFmtId="0" fontId="57" fillId="0" borderId="46" xfId="0" applyFont="1" applyFill="1" applyBorder="1" applyAlignment="1">
      <alignment horizontal="center" readingOrder="1"/>
    </xf>
    <xf numFmtId="0" fontId="57" fillId="0" borderId="32" xfId="0" applyFont="1" applyFill="1" applyBorder="1" applyAlignment="1">
      <alignment horizontal="center" readingOrder="1"/>
    </xf>
    <xf numFmtId="0" fontId="57" fillId="0" borderId="52" xfId="0" applyFont="1" applyFill="1" applyBorder="1" applyAlignment="1">
      <alignment horizontal="center" readingOrder="1"/>
    </xf>
    <xf numFmtId="0" fontId="57" fillId="0" borderId="0" xfId="0" applyFont="1" applyFill="1" applyBorder="1" applyAlignment="1">
      <alignment horizontal="center" readingOrder="1"/>
    </xf>
    <xf numFmtId="0" fontId="57" fillId="0" borderId="39" xfId="0" applyFont="1" applyFill="1" applyBorder="1" applyAlignment="1">
      <alignment horizontal="center" readingOrder="1"/>
    </xf>
    <xf numFmtId="0" fontId="57" fillId="0" borderId="31" xfId="0" applyFont="1" applyFill="1" applyBorder="1" applyAlignment="1">
      <alignment horizontal="center" readingOrder="1"/>
    </xf>
    <xf numFmtId="0" fontId="57" fillId="0" borderId="53" xfId="0" applyFont="1" applyFill="1" applyBorder="1" applyAlignment="1">
      <alignment horizontal="center" readingOrder="1"/>
    </xf>
    <xf numFmtId="0" fontId="57" fillId="0" borderId="30" xfId="0" applyFont="1" applyFill="1" applyBorder="1" applyAlignment="1">
      <alignment horizontal="center" readingOrder="1"/>
    </xf>
    <xf numFmtId="49" fontId="62" fillId="0" borderId="12" xfId="0" applyNumberFormat="1" applyFont="1" applyFill="1" applyBorder="1" applyAlignment="1">
      <alignment horizontal="left" vertical="top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6" xfId="0" applyNumberFormat="1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0" fontId="0" fillId="0" borderId="29" xfId="0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center" vertical="center" wrapText="1" readingOrder="1"/>
    </xf>
    <xf numFmtId="0" fontId="62" fillId="33" borderId="12" xfId="0" applyFont="1" applyFill="1" applyBorder="1" applyAlignment="1">
      <alignment horizontal="center" vertical="top" wrapText="1" readingOrder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ont="1" applyFill="1" applyBorder="1" applyAlignment="1">
      <alignment horizontal="center" vertical="center" wrapText="1" readingOrder="1"/>
    </xf>
    <xf numFmtId="49" fontId="59" fillId="0" borderId="50" xfId="0" applyNumberFormat="1" applyFont="1" applyFill="1" applyBorder="1" applyAlignment="1">
      <alignment horizontal="left" vertical="center" wrapText="1" readingOrder="1"/>
    </xf>
    <xf numFmtId="49" fontId="59" fillId="0" borderId="54" xfId="0" applyNumberFormat="1" applyFont="1" applyFill="1" applyBorder="1" applyAlignment="1">
      <alignment horizontal="left" vertical="center" wrapText="1" readingOrder="1"/>
    </xf>
    <xf numFmtId="49" fontId="59" fillId="0" borderId="33" xfId="0" applyNumberFormat="1" applyFont="1" applyFill="1" applyBorder="1" applyAlignment="1">
      <alignment horizontal="left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left" vertical="center" wrapText="1" readingOrder="1"/>
    </xf>
    <xf numFmtId="0" fontId="0" fillId="0" borderId="29" xfId="0" applyFont="1" applyFill="1" applyBorder="1" applyAlignment="1">
      <alignment horizontal="center" wrapText="1" readingOrder="1"/>
    </xf>
    <xf numFmtId="0" fontId="0" fillId="0" borderId="16" xfId="0" applyFont="1" applyFill="1" applyBorder="1" applyAlignment="1">
      <alignment horizontal="center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11" xfId="0" applyNumberFormat="1" applyFont="1" applyFill="1" applyBorder="1" applyAlignment="1">
      <alignment horizontal="center" vertical="center" wrapText="1" readingOrder="1"/>
    </xf>
    <xf numFmtId="0" fontId="62" fillId="0" borderId="50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vertical="top" wrapText="1"/>
    </xf>
    <xf numFmtId="0" fontId="62" fillId="33" borderId="50" xfId="0" applyFont="1" applyFill="1" applyBorder="1" applyAlignment="1">
      <alignment horizontal="center" vertical="top" wrapText="1"/>
    </xf>
    <xf numFmtId="0" fontId="59" fillId="33" borderId="59" xfId="0" applyFont="1" applyFill="1" applyBorder="1" applyAlignment="1">
      <alignment horizontal="left" vertical="top" wrapText="1"/>
    </xf>
    <xf numFmtId="0" fontId="59" fillId="33" borderId="18" xfId="0" applyFont="1" applyFill="1" applyBorder="1" applyAlignment="1">
      <alignment horizontal="left" vertical="top" wrapText="1"/>
    </xf>
    <xf numFmtId="2" fontId="59" fillId="33" borderId="16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2" fontId="59" fillId="33" borderId="60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wrapText="1" readingOrder="1"/>
    </xf>
    <xf numFmtId="0" fontId="0" fillId="0" borderId="16" xfId="0" applyFont="1" applyFill="1" applyBorder="1" applyAlignment="1">
      <alignment wrapText="1" readingOrder="1"/>
    </xf>
    <xf numFmtId="49" fontId="59" fillId="33" borderId="11" xfId="0" applyNumberFormat="1" applyFont="1" applyFill="1" applyBorder="1" applyAlignment="1">
      <alignment horizontal="left" vertical="center" wrapText="1" readingOrder="1"/>
    </xf>
    <xf numFmtId="49" fontId="62" fillId="33" borderId="29" xfId="0" applyNumberFormat="1" applyFont="1" applyFill="1" applyBorder="1" applyAlignment="1">
      <alignment horizontal="left" vertical="top" wrapText="1" readingOrder="1"/>
    </xf>
    <xf numFmtId="49" fontId="62" fillId="33" borderId="16" xfId="0" applyNumberFormat="1" applyFont="1" applyFill="1" applyBorder="1" applyAlignment="1">
      <alignment horizontal="left" vertical="top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0" fontId="62" fillId="0" borderId="61" xfId="0" applyFont="1" applyFill="1" applyBorder="1" applyAlignment="1">
      <alignment horizontal="center" vertical="center" wrapText="1" readingOrder="1"/>
    </xf>
    <xf numFmtId="0" fontId="62" fillId="0" borderId="46" xfId="0" applyFont="1" applyFill="1" applyBorder="1" applyAlignment="1">
      <alignment horizontal="center" vertical="center" wrapText="1" readingOrder="1"/>
    </xf>
    <xf numFmtId="0" fontId="62" fillId="0" borderId="32" xfId="0" applyFont="1" applyFill="1" applyBorder="1" applyAlignment="1">
      <alignment horizontal="center" vertical="center" wrapText="1" readingOrder="1"/>
    </xf>
    <xf numFmtId="0" fontId="62" fillId="0" borderId="62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39" xfId="0" applyFont="1" applyFill="1" applyBorder="1" applyAlignment="1">
      <alignment horizontal="center" vertical="center" wrapText="1" readingOrder="1"/>
    </xf>
    <xf numFmtId="0" fontId="62" fillId="0" borderId="63" xfId="0" applyFont="1" applyFill="1" applyBorder="1" applyAlignment="1">
      <alignment horizontal="center" vertical="center" wrapText="1" readingOrder="1"/>
    </xf>
    <xf numFmtId="0" fontId="62" fillId="0" borderId="53" xfId="0" applyFont="1" applyFill="1" applyBorder="1" applyAlignment="1">
      <alignment horizontal="center" vertical="center" wrapText="1" readingOrder="1"/>
    </xf>
    <xf numFmtId="0" fontId="62" fillId="0" borderId="3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wrapText="1" readingOrder="1"/>
    </xf>
    <xf numFmtId="49" fontId="62" fillId="0" borderId="29" xfId="0" applyNumberFormat="1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0" fontId="69" fillId="0" borderId="0" xfId="0" applyFont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49" fontId="62" fillId="0" borderId="16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wrapText="1" readingOrder="1"/>
    </xf>
    <xf numFmtId="0" fontId="59" fillId="0" borderId="50" xfId="0" applyFont="1" applyBorder="1" applyAlignment="1">
      <alignment horizontal="center" vertical="top" wrapText="1"/>
    </xf>
    <xf numFmtId="0" fontId="59" fillId="0" borderId="54" xfId="0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right" vertical="top" wrapText="1" readingOrder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9" xfId="0" applyFont="1" applyBorder="1" applyAlignment="1">
      <alignment horizontal="center" wrapText="1" readingOrder="1"/>
    </xf>
    <xf numFmtId="0" fontId="0" fillId="0" borderId="16" xfId="0" applyFont="1" applyBorder="1" applyAlignment="1">
      <alignment horizontal="center" wrapText="1" readingOrder="1"/>
    </xf>
    <xf numFmtId="0" fontId="0" fillId="0" borderId="29" xfId="0" applyFont="1" applyFill="1" applyBorder="1" applyAlignment="1">
      <alignment horizontal="left" wrapText="1" readingOrder="1"/>
    </xf>
    <xf numFmtId="0" fontId="0" fillId="0" borderId="16" xfId="0" applyFont="1" applyFill="1" applyBorder="1" applyAlignment="1">
      <alignment horizontal="left" wrapText="1" readingOrder="1"/>
    </xf>
    <xf numFmtId="49" fontId="62" fillId="33" borderId="12" xfId="0" applyNumberFormat="1" applyFont="1" applyFill="1" applyBorder="1" applyAlignment="1">
      <alignment horizontal="center" vertical="top" wrapText="1" readingOrder="1"/>
    </xf>
    <xf numFmtId="0" fontId="0" fillId="33" borderId="29" xfId="0" applyFont="1" applyFill="1" applyBorder="1" applyAlignment="1">
      <alignment horizontal="center" wrapText="1" readingOrder="1"/>
    </xf>
    <xf numFmtId="0" fontId="0" fillId="33" borderId="16" xfId="0" applyFont="1" applyFill="1" applyBorder="1" applyAlignment="1">
      <alignment horizontal="center" wrapText="1" readingOrder="1"/>
    </xf>
    <xf numFmtId="49" fontId="62" fillId="33" borderId="12" xfId="0" applyNumberFormat="1" applyFont="1" applyFill="1" applyBorder="1" applyAlignment="1">
      <alignment horizontal="center" vertical="center" wrapText="1" readingOrder="1"/>
    </xf>
    <xf numFmtId="49" fontId="62" fillId="33" borderId="29" xfId="0" applyNumberFormat="1" applyFont="1" applyFill="1" applyBorder="1" applyAlignment="1">
      <alignment horizontal="center" vertical="center" wrapText="1" readingOrder="1"/>
    </xf>
    <xf numFmtId="49" fontId="62" fillId="33" borderId="16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vertical="center" wrapText="1" readingOrder="1"/>
    </xf>
    <xf numFmtId="0" fontId="0" fillId="33" borderId="16" xfId="0" applyFill="1" applyBorder="1" applyAlignment="1">
      <alignment horizontal="center" vertical="center" wrapText="1" readingOrder="1"/>
    </xf>
    <xf numFmtId="0" fontId="0" fillId="33" borderId="29" xfId="0" applyFill="1" applyBorder="1" applyAlignment="1">
      <alignment horizontal="left" vertical="top" wrapText="1" readingOrder="1"/>
    </xf>
    <xf numFmtId="0" fontId="0" fillId="33" borderId="16" xfId="0" applyFill="1" applyBorder="1" applyAlignment="1">
      <alignment horizontal="left" vertical="top" wrapText="1" readingOrder="1"/>
    </xf>
    <xf numFmtId="49" fontId="62" fillId="33" borderId="32" xfId="0" applyNumberFormat="1" applyFont="1" applyFill="1" applyBorder="1" applyAlignment="1">
      <alignment horizontal="center" vertical="top" wrapText="1" readingOrder="1"/>
    </xf>
    <xf numFmtId="0" fontId="0" fillId="33" borderId="30" xfId="0" applyFill="1" applyBorder="1" applyAlignment="1">
      <alignment horizontal="center" vertical="top" wrapText="1" readingOrder="1"/>
    </xf>
    <xf numFmtId="0" fontId="62" fillId="33" borderId="12" xfId="0" applyFont="1" applyFill="1" applyBorder="1" applyAlignment="1">
      <alignment horizontal="left" vertical="top" wrapText="1" readingOrder="1"/>
    </xf>
    <xf numFmtId="0" fontId="62" fillId="0" borderId="12" xfId="0" applyFont="1" applyBorder="1" applyAlignment="1">
      <alignment horizontal="center" vertical="top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vertical="top" wrapText="1"/>
    </xf>
    <xf numFmtId="49" fontId="62" fillId="0" borderId="12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wrapText="1"/>
    </xf>
    <xf numFmtId="49" fontId="62" fillId="0" borderId="12" xfId="0" applyNumberFormat="1" applyFont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0" fontId="62" fillId="0" borderId="33" xfId="0" applyFont="1" applyBorder="1" applyAlignment="1">
      <alignment horizontal="left" vertical="center" wrapText="1" readingOrder="1"/>
    </xf>
    <xf numFmtId="0" fontId="0" fillId="0" borderId="33" xfId="0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62" fillId="0" borderId="50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wrapText="1" readingOrder="1"/>
    </xf>
    <xf numFmtId="0" fontId="59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178" fontId="59" fillId="0" borderId="43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59" fillId="0" borderId="31" xfId="0" applyNumberFormat="1" applyFont="1" applyBorder="1" applyAlignment="1">
      <alignment horizontal="left" vertical="center" wrapText="1" readingOrder="1"/>
    </xf>
    <xf numFmtId="49" fontId="59" fillId="0" borderId="53" xfId="0" applyNumberFormat="1" applyFont="1" applyBorder="1" applyAlignment="1">
      <alignment horizontal="left" vertical="center" wrapText="1" readingOrder="1"/>
    </xf>
    <xf numFmtId="49" fontId="59" fillId="0" borderId="30" xfId="0" applyNumberFormat="1" applyFont="1" applyBorder="1" applyAlignment="1">
      <alignment horizontal="left" vertical="center" wrapText="1" readingOrder="1"/>
    </xf>
    <xf numFmtId="178" fontId="59" fillId="0" borderId="44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34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0" fontId="62" fillId="0" borderId="50" xfId="0" applyFont="1" applyBorder="1" applyAlignment="1">
      <alignment horizontal="center" vertical="top" wrapText="1"/>
    </xf>
    <xf numFmtId="0" fontId="0" fillId="0" borderId="18" xfId="0" applyBorder="1" applyAlignment="1">
      <alignment horizontal="left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center" wrapText="1" readingOrder="1"/>
    </xf>
    <xf numFmtId="49" fontId="0" fillId="0" borderId="11" xfId="0" applyNumberForma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center" wrapText="1"/>
    </xf>
    <xf numFmtId="49" fontId="59" fillId="0" borderId="50" xfId="0" applyNumberFormat="1" applyFont="1" applyBorder="1" applyAlignment="1">
      <alignment horizontal="left" vertical="center" wrapText="1" readingOrder="1"/>
    </xf>
    <xf numFmtId="49" fontId="59" fillId="0" borderId="54" xfId="0" applyNumberFormat="1" applyFont="1" applyBorder="1" applyAlignment="1">
      <alignment horizontal="left" vertical="center" wrapText="1" readingOrder="1"/>
    </xf>
    <xf numFmtId="49" fontId="59" fillId="0" borderId="33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62" fillId="0" borderId="32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 readingOrder="1"/>
    </xf>
    <xf numFmtId="0" fontId="62" fillId="0" borderId="16" xfId="0" applyFont="1" applyBorder="1" applyAlignment="1">
      <alignment horizontal="center" vertical="center" wrapText="1" readingOrder="1"/>
    </xf>
    <xf numFmtId="49" fontId="62" fillId="0" borderId="32" xfId="0" applyNumberFormat="1" applyFont="1" applyBorder="1" applyAlignment="1">
      <alignment horizontal="center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178" fontId="62" fillId="0" borderId="16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29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left" vertical="center" wrapText="1" readingOrder="1"/>
    </xf>
    <xf numFmtId="49" fontId="62" fillId="0" borderId="29" xfId="0" applyNumberFormat="1" applyFont="1" applyBorder="1" applyAlignment="1">
      <alignment horizontal="left" vertical="top" wrapText="1" readingOrder="1"/>
    </xf>
    <xf numFmtId="0" fontId="59" fillId="0" borderId="12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top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6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62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2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178" fontId="59" fillId="33" borderId="12" xfId="0" applyNumberFormat="1" applyFont="1" applyFill="1" applyBorder="1" applyAlignment="1">
      <alignment horizontal="center" vertical="center" wrapText="1" readingOrder="1"/>
    </xf>
    <xf numFmtId="178" fontId="59" fillId="33" borderId="29" xfId="0" applyNumberFormat="1" applyFont="1" applyFill="1" applyBorder="1" applyAlignment="1">
      <alignment horizontal="center" vertical="center" wrapText="1" readingOrder="1"/>
    </xf>
    <xf numFmtId="178" fontId="59" fillId="33" borderId="16" xfId="0" applyNumberFormat="1" applyFont="1" applyFill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 readingOrder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178" fontId="62" fillId="33" borderId="16" xfId="0" applyNumberFormat="1" applyFont="1" applyFill="1" applyBorder="1" applyAlignment="1">
      <alignment horizontal="center" vertical="center" wrapText="1" readingOrder="1"/>
    </xf>
    <xf numFmtId="0" fontId="62" fillId="0" borderId="46" xfId="0" applyFont="1" applyBorder="1" applyAlignment="1">
      <alignment horizontal="left" vertical="center" wrapText="1" readingOrder="1"/>
    </xf>
    <xf numFmtId="0" fontId="62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50" xfId="0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top" wrapText="1" readingOrder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0" fontId="0" fillId="0" borderId="16" xfId="0" applyFill="1" applyBorder="1" applyAlignment="1">
      <alignment horizontal="left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/>
    </xf>
    <xf numFmtId="49" fontId="62" fillId="0" borderId="12" xfId="0" applyNumberFormat="1" applyFont="1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49" fontId="62" fillId="0" borderId="12" xfId="0" applyNumberFormat="1" applyFont="1" applyFill="1" applyBorder="1" applyAlignment="1">
      <alignment vertical="top" wrapText="1" readingOrder="1"/>
    </xf>
    <xf numFmtId="0" fontId="0" fillId="0" borderId="29" xfId="0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top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 readingOrder="1"/>
    </xf>
    <xf numFmtId="0" fontId="0" fillId="0" borderId="11" xfId="0" applyFill="1" applyBorder="1" applyAlignment="1">
      <alignment horizontal="left" vertical="top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top" wrapText="1"/>
    </xf>
    <xf numFmtId="178" fontId="59" fillId="0" borderId="43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44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/>
    </xf>
    <xf numFmtId="49" fontId="59" fillId="0" borderId="52" xfId="0" applyNumberFormat="1" applyFont="1" applyFill="1" applyBorder="1" applyAlignment="1">
      <alignment horizontal="left" vertical="center" wrapText="1" readingOrder="1"/>
    </xf>
    <xf numFmtId="49" fontId="59" fillId="0" borderId="0" xfId="0" applyNumberFormat="1" applyFont="1" applyFill="1" applyBorder="1" applyAlignment="1">
      <alignment horizontal="left" vertical="center" wrapText="1" readingOrder="1"/>
    </xf>
    <xf numFmtId="49" fontId="59" fillId="0" borderId="39" xfId="0" applyNumberFormat="1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wrapText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62" fillId="0" borderId="12" xfId="6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left" vertical="center" wrapText="1" readingOrder="1"/>
    </xf>
    <xf numFmtId="0" fontId="62" fillId="0" borderId="39" xfId="0" applyFont="1" applyFill="1" applyBorder="1" applyAlignment="1">
      <alignment horizontal="left" vertical="center" wrapText="1" readingOrder="1"/>
    </xf>
    <xf numFmtId="0" fontId="62" fillId="0" borderId="30" xfId="0" applyFont="1" applyFill="1" applyBorder="1" applyAlignment="1">
      <alignment horizontal="left" vertical="center" wrapText="1" readingOrder="1"/>
    </xf>
    <xf numFmtId="0" fontId="59" fillId="0" borderId="11" xfId="0" applyFont="1" applyFill="1" applyBorder="1" applyAlignment="1">
      <alignment vertical="top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178" fontId="59" fillId="34" borderId="43" xfId="0" applyNumberFormat="1" applyFont="1" applyFill="1" applyBorder="1" applyAlignment="1">
      <alignment horizontal="center" vertical="center" wrapText="1"/>
    </xf>
    <xf numFmtId="178" fontId="59" fillId="34" borderId="11" xfId="0" applyNumberFormat="1" applyFont="1" applyFill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1" fontId="62" fillId="0" borderId="12" xfId="0" applyNumberFormat="1" applyFont="1" applyBorder="1" applyAlignment="1">
      <alignment horizontal="center" vertical="top" wrapText="1" readingOrder="1"/>
    </xf>
    <xf numFmtId="1" fontId="62" fillId="0" borderId="29" xfId="0" applyNumberFormat="1" applyFont="1" applyBorder="1" applyAlignment="1">
      <alignment horizontal="center" vertical="top" wrapText="1" readingOrder="1"/>
    </xf>
    <xf numFmtId="1" fontId="62" fillId="0" borderId="16" xfId="0" applyNumberFormat="1" applyFont="1" applyBorder="1" applyAlignment="1">
      <alignment horizontal="center" vertical="top" wrapText="1" readingOrder="1"/>
    </xf>
    <xf numFmtId="0" fontId="59" fillId="0" borderId="52" xfId="33" applyNumberFormat="1" applyFont="1" applyBorder="1" applyAlignment="1" applyProtection="1">
      <alignment horizontal="center" vertical="center" wrapText="1"/>
      <protection locked="0"/>
    </xf>
    <xf numFmtId="0" fontId="59" fillId="0" borderId="52" xfId="33" applyFont="1" applyBorder="1" applyAlignment="1">
      <alignment horizontal="center" vertical="center" wrapText="1"/>
      <protection/>
    </xf>
    <xf numFmtId="49" fontId="62" fillId="0" borderId="12" xfId="0" applyNumberFormat="1" applyFont="1" applyBorder="1" applyAlignment="1">
      <alignment horizontal="left" vertical="top" wrapText="1"/>
    </xf>
    <xf numFmtId="49" fontId="62" fillId="0" borderId="29" xfId="0" applyNumberFormat="1" applyFont="1" applyBorder="1" applyAlignment="1">
      <alignment horizontal="left" vertical="top" wrapText="1"/>
    </xf>
    <xf numFmtId="0" fontId="62" fillId="0" borderId="29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49" fontId="62" fillId="0" borderId="12" xfId="0" applyNumberFormat="1" applyFont="1" applyBorder="1" applyAlignment="1">
      <alignment vertical="top" wrapText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49" fontId="62" fillId="0" borderId="16" xfId="0" applyNumberFormat="1" applyFont="1" applyBorder="1" applyAlignment="1">
      <alignment horizontal="left" vertical="top" wrapText="1"/>
    </xf>
    <xf numFmtId="1" fontId="62" fillId="0" borderId="12" xfId="0" applyNumberFormat="1" applyFont="1" applyBorder="1" applyAlignment="1">
      <alignment horizontal="center" vertical="center" wrapText="1" readingOrder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16" xfId="0" applyNumberFormat="1" applyFont="1" applyBorder="1" applyAlignment="1">
      <alignment horizontal="left" vertical="top" wrapText="1"/>
    </xf>
    <xf numFmtId="49" fontId="59" fillId="0" borderId="29" xfId="0" applyNumberFormat="1" applyFont="1" applyBorder="1" applyAlignment="1">
      <alignment horizontal="left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49" fontId="59" fillId="0" borderId="50" xfId="0" applyNumberFormat="1" applyFont="1" applyBorder="1" applyAlignment="1">
      <alignment vertical="top" wrapText="1"/>
    </xf>
    <xf numFmtId="49" fontId="59" fillId="0" borderId="54" xfId="0" applyNumberFormat="1" applyFont="1" applyBorder="1" applyAlignment="1">
      <alignment vertical="top" wrapText="1"/>
    </xf>
    <xf numFmtId="49" fontId="59" fillId="0" borderId="46" xfId="0" applyNumberFormat="1" applyFont="1" applyBorder="1" applyAlignment="1">
      <alignment vertical="top" wrapText="1"/>
    </xf>
    <xf numFmtId="49" fontId="59" fillId="0" borderId="33" xfId="0" applyNumberFormat="1" applyFont="1" applyBorder="1" applyAlignment="1">
      <alignment vertical="top" wrapText="1"/>
    </xf>
    <xf numFmtId="0" fontId="62" fillId="0" borderId="52" xfId="0" applyFont="1" applyBorder="1" applyAlignment="1">
      <alignment horizontal="center" vertical="top" wrapText="1"/>
    </xf>
    <xf numFmtId="49" fontId="59" fillId="0" borderId="12" xfId="0" applyNumberFormat="1" applyFont="1" applyBorder="1" applyAlignment="1">
      <alignment horizontal="left" vertical="top" wrapText="1"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52" xfId="0" applyFont="1" applyBorder="1" applyAlignment="1">
      <alignment vertical="top" wrapText="1"/>
    </xf>
    <xf numFmtId="0" fontId="62" fillId="0" borderId="31" xfId="0" applyFont="1" applyBorder="1" applyAlignment="1">
      <alignment vertical="top" wrapText="1"/>
    </xf>
    <xf numFmtId="0" fontId="62" fillId="0" borderId="29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178" fontId="62" fillId="0" borderId="39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top" wrapText="1"/>
    </xf>
    <xf numFmtId="0" fontId="62" fillId="0" borderId="30" xfId="0" applyFont="1" applyBorder="1" applyAlignment="1">
      <alignment horizontal="left" vertical="top" wrapText="1"/>
    </xf>
    <xf numFmtId="0" fontId="62" fillId="0" borderId="11" xfId="0" applyFont="1" applyBorder="1" applyAlignment="1">
      <alignment/>
    </xf>
    <xf numFmtId="0" fontId="59" fillId="0" borderId="16" xfId="0" applyFont="1" applyBorder="1" applyAlignment="1">
      <alignment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50" xfId="0" applyFont="1" applyBorder="1" applyAlignment="1">
      <alignment/>
    </xf>
    <xf numFmtId="0" fontId="62" fillId="0" borderId="33" xfId="0" applyFont="1" applyBorder="1" applyAlignment="1">
      <alignment horizontal="center" vertical="top" wrapText="1"/>
    </xf>
    <xf numFmtId="0" fontId="62" fillId="0" borderId="33" xfId="0" applyFont="1" applyBorder="1" applyAlignment="1">
      <alignment/>
    </xf>
    <xf numFmtId="0" fontId="62" fillId="0" borderId="12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2" xfId="0" applyFont="1" applyBorder="1" applyAlignment="1">
      <alignment horizontal="left" vertical="top" wrapText="1"/>
    </xf>
    <xf numFmtId="0" fontId="62" fillId="0" borderId="39" xfId="0" applyFont="1" applyBorder="1" applyAlignment="1">
      <alignment wrapText="1"/>
    </xf>
    <xf numFmtId="0" fontId="62" fillId="0" borderId="30" xfId="0" applyFont="1" applyBorder="1" applyAlignment="1">
      <alignment wrapText="1"/>
    </xf>
    <xf numFmtId="2" fontId="62" fillId="0" borderId="29" xfId="0" applyNumberFormat="1" applyFont="1" applyBorder="1" applyAlignment="1">
      <alignment horizontal="center" vertical="center" wrapText="1"/>
    </xf>
    <xf numFmtId="2" fontId="62" fillId="0" borderId="39" xfId="0" applyNumberFormat="1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2" fillId="0" borderId="12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178" fontId="62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29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9" xfId="0" applyBorder="1" applyAlignment="1">
      <alignment horizontal="center" wrapText="1"/>
    </xf>
    <xf numFmtId="0" fontId="62" fillId="0" borderId="51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178" fontId="59" fillId="0" borderId="43" xfId="0" applyNumberFormat="1" applyFont="1" applyFill="1" applyBorder="1" applyAlignment="1">
      <alignment horizontal="center" vertical="top" wrapText="1"/>
    </xf>
    <xf numFmtId="178" fontId="59" fillId="0" borderId="11" xfId="0" applyNumberFormat="1" applyFont="1" applyFill="1" applyBorder="1" applyAlignment="1">
      <alignment horizontal="center" vertical="top" wrapText="1"/>
    </xf>
    <xf numFmtId="178" fontId="59" fillId="0" borderId="44" xfId="0" applyNumberFormat="1" applyFont="1" applyFill="1" applyBorder="1" applyAlignment="1">
      <alignment horizontal="center" vertical="top" wrapText="1"/>
    </xf>
    <xf numFmtId="178" fontId="59" fillId="0" borderId="22" xfId="0" applyNumberFormat="1" applyFont="1" applyFill="1" applyBorder="1" applyAlignment="1">
      <alignment horizontal="center" vertical="top" wrapText="1"/>
    </xf>
    <xf numFmtId="0" fontId="62" fillId="0" borderId="30" xfId="0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left" vertical="top" wrapText="1" readingOrder="1"/>
    </xf>
    <xf numFmtId="0" fontId="62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left" vertical="top" wrapText="1" readingOrder="1"/>
    </xf>
    <xf numFmtId="0" fontId="59" fillId="0" borderId="54" xfId="0" applyFont="1" applyFill="1" applyBorder="1" applyAlignment="1">
      <alignment horizontal="left" vertical="top" wrapText="1" readingOrder="1"/>
    </xf>
    <xf numFmtId="0" fontId="59" fillId="0" borderId="53" xfId="0" applyFont="1" applyFill="1" applyBorder="1" applyAlignment="1">
      <alignment horizontal="left" vertical="top" wrapText="1" readingOrder="1"/>
    </xf>
    <xf numFmtId="0" fontId="59" fillId="0" borderId="33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178" fontId="59" fillId="0" borderId="60" xfId="0" applyNumberFormat="1" applyFont="1" applyFill="1" applyBorder="1" applyAlignment="1">
      <alignment horizontal="center" vertical="top" wrapText="1"/>
    </xf>
    <xf numFmtId="178" fontId="59" fillId="0" borderId="40" xfId="0" applyNumberFormat="1" applyFont="1" applyFill="1" applyBorder="1" applyAlignment="1">
      <alignment horizontal="center" vertical="top" wrapText="1"/>
    </xf>
    <xf numFmtId="178" fontId="59" fillId="0" borderId="16" xfId="0" applyNumberFormat="1" applyFont="1" applyFill="1" applyBorder="1" applyAlignment="1">
      <alignment horizontal="center" vertical="top" wrapText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0" fontId="62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59" fillId="0" borderId="31" xfId="0" applyFont="1" applyFill="1" applyBorder="1" applyAlignment="1">
      <alignment horizontal="left" vertical="top" wrapText="1" readingOrder="1"/>
    </xf>
    <xf numFmtId="0" fontId="59" fillId="0" borderId="30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62" fillId="0" borderId="0" xfId="0" applyFont="1" applyFill="1" applyBorder="1" applyAlignment="1">
      <alignment horizontal="right" vertical="top" wrapText="1" readingOrder="1"/>
    </xf>
    <xf numFmtId="0" fontId="69" fillId="0" borderId="0" xfId="0" applyFont="1" applyFill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54" xfId="0" applyFont="1" applyFill="1" applyBorder="1" applyAlignment="1">
      <alignment horizontal="center" vertical="top" wrapText="1"/>
    </xf>
    <xf numFmtId="0" fontId="59" fillId="0" borderId="33" xfId="0" applyFont="1" applyFill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59" fillId="0" borderId="64" xfId="0" applyFont="1" applyBorder="1" applyAlignment="1">
      <alignment vertical="top" wrapText="1"/>
    </xf>
    <xf numFmtId="0" fontId="62" fillId="0" borderId="65" xfId="0" applyFont="1" applyBorder="1" applyAlignment="1">
      <alignment horizontal="center" vertical="top" wrapText="1"/>
    </xf>
    <xf numFmtId="0" fontId="62" fillId="0" borderId="66" xfId="0" applyFont="1" applyBorder="1" applyAlignment="1">
      <alignment horizontal="center" vertical="top" wrapText="1"/>
    </xf>
    <xf numFmtId="178" fontId="59" fillId="0" borderId="67" xfId="0" applyNumberFormat="1" applyFont="1" applyBorder="1" applyAlignment="1">
      <alignment horizontal="center" vertical="top" wrapText="1"/>
    </xf>
    <xf numFmtId="178" fontId="59" fillId="0" borderId="27" xfId="0" applyNumberFormat="1" applyFont="1" applyBorder="1" applyAlignment="1">
      <alignment horizontal="center" vertical="top" wrapText="1"/>
    </xf>
    <xf numFmtId="178" fontId="59" fillId="0" borderId="68" xfId="0" applyNumberFormat="1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34" xfId="0" applyNumberFormat="1" applyFont="1" applyBorder="1" applyAlignment="1">
      <alignment horizontal="center" vertical="top" wrapText="1"/>
    </xf>
    <xf numFmtId="178" fontId="59" fillId="0" borderId="28" xfId="0" applyNumberFormat="1" applyFont="1" applyBorder="1" applyAlignment="1">
      <alignment horizontal="center" vertical="top" wrapText="1"/>
    </xf>
    <xf numFmtId="178" fontId="59" fillId="0" borderId="42" xfId="0" applyNumberFormat="1" applyFont="1" applyBorder="1" applyAlignment="1">
      <alignment horizontal="center" vertical="top" wrapText="1"/>
    </xf>
    <xf numFmtId="178" fontId="59" fillId="0" borderId="60" xfId="0" applyNumberFormat="1" applyFont="1" applyBorder="1" applyAlignment="1">
      <alignment horizontal="center" vertical="top" wrapText="1"/>
    </xf>
    <xf numFmtId="178" fontId="59" fillId="0" borderId="40" xfId="0" applyNumberFormat="1" applyFont="1" applyBorder="1" applyAlignment="1">
      <alignment horizontal="center" vertical="top" wrapText="1"/>
    </xf>
    <xf numFmtId="178" fontId="59" fillId="0" borderId="16" xfId="0" applyNumberFormat="1" applyFont="1" applyBorder="1" applyAlignment="1">
      <alignment horizontal="center" vertical="top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0" fontId="59" fillId="0" borderId="11" xfId="0" applyNumberFormat="1" applyFont="1" applyBorder="1" applyAlignment="1" applyProtection="1">
      <alignment horizontal="left" vertical="top" wrapText="1"/>
      <protection locked="0"/>
    </xf>
    <xf numFmtId="0" fontId="59" fillId="0" borderId="41" xfId="0" applyFont="1" applyBorder="1" applyAlignment="1">
      <alignment horizontal="center" vertical="top" wrapText="1"/>
    </xf>
    <xf numFmtId="0" fontId="59" fillId="0" borderId="58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29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left" vertical="top" wrapText="1" readingOrder="1"/>
    </xf>
    <xf numFmtId="49" fontId="62" fillId="0" borderId="15" xfId="0" applyNumberFormat="1" applyFont="1" applyBorder="1" applyAlignment="1">
      <alignment horizontal="center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2" fontId="59" fillId="33" borderId="43" xfId="0" applyNumberFormat="1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178" fontId="59" fillId="0" borderId="29" xfId="0" applyNumberFormat="1" applyFont="1" applyBorder="1" applyAlignment="1">
      <alignment horizontal="center" vertical="top" readingOrder="1"/>
    </xf>
    <xf numFmtId="2" fontId="59" fillId="33" borderId="44" xfId="0" applyNumberFormat="1" applyFont="1" applyFill="1" applyBorder="1" applyAlignment="1">
      <alignment horizontal="center" vertical="top" wrapText="1"/>
    </xf>
    <xf numFmtId="2" fontId="59" fillId="33" borderId="22" xfId="0" applyNumberFormat="1" applyFont="1" applyFill="1" applyBorder="1" applyAlignment="1">
      <alignment horizontal="center" vertical="top" wrapText="1"/>
    </xf>
    <xf numFmtId="0" fontId="59" fillId="0" borderId="54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70" fillId="0" borderId="0" xfId="0" applyFont="1" applyFill="1" applyBorder="1" applyAlignment="1">
      <alignment horizontal="right" vertical="center" wrapText="1" readingOrder="1"/>
    </xf>
    <xf numFmtId="0" fontId="62" fillId="0" borderId="29" xfId="0" applyFont="1" applyBorder="1" applyAlignment="1">
      <alignment horizontal="center" vertical="top" readingOrder="1"/>
    </xf>
    <xf numFmtId="0" fontId="62" fillId="0" borderId="29" xfId="0" applyFont="1" applyBorder="1" applyAlignment="1">
      <alignment horizontal="left" vertical="top" wrapText="1" readingOrder="1"/>
    </xf>
    <xf numFmtId="0" fontId="59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59" fillId="0" borderId="12" xfId="0" applyFont="1" applyBorder="1" applyAlignment="1">
      <alignment horizontal="left" vertical="top" wrapText="1" readingOrder="1"/>
    </xf>
    <xf numFmtId="0" fontId="59" fillId="0" borderId="29" xfId="0" applyFont="1" applyBorder="1" applyAlignment="1">
      <alignment horizontal="left" vertical="top" wrapText="1" readingOrder="1"/>
    </xf>
    <xf numFmtId="0" fontId="0" fillId="0" borderId="29" xfId="0" applyFont="1" applyBorder="1" applyAlignment="1">
      <alignment horizontal="left" vertical="top" wrapText="1" readingOrder="1"/>
    </xf>
    <xf numFmtId="0" fontId="0" fillId="0" borderId="16" xfId="0" applyFont="1" applyBorder="1" applyAlignment="1">
      <alignment horizontal="left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0" fontId="62" fillId="0" borderId="52" xfId="0" applyFont="1" applyBorder="1" applyAlignment="1">
      <alignment horizontal="center" vertical="top" wrapText="1" readingOrder="1"/>
    </xf>
    <xf numFmtId="0" fontId="0" fillId="0" borderId="52" xfId="0" applyFont="1" applyBorder="1" applyAlignment="1">
      <alignment horizontal="center" wrapText="1" readingOrder="1"/>
    </xf>
    <xf numFmtId="0" fontId="0" fillId="0" borderId="31" xfId="0" applyFont="1" applyBorder="1" applyAlignment="1">
      <alignment horizontal="center" wrapText="1" readingOrder="1"/>
    </xf>
    <xf numFmtId="0" fontId="59" fillId="0" borderId="52" xfId="0" applyFont="1" applyBorder="1" applyAlignment="1">
      <alignment horizontal="center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62" fillId="0" borderId="12" xfId="0" applyFont="1" applyBorder="1" applyAlignment="1">
      <alignment horizontal="center" vertical="top" readingOrder="1"/>
    </xf>
    <xf numFmtId="0" fontId="62" fillId="0" borderId="12" xfId="0" applyFont="1" applyBorder="1" applyAlignment="1">
      <alignment horizontal="left" vertical="top" wrapText="1" readingOrder="1"/>
    </xf>
    <xf numFmtId="0" fontId="69" fillId="0" borderId="0" xfId="0" applyFont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top" wrapText="1"/>
    </xf>
    <xf numFmtId="0" fontId="62" fillId="0" borderId="29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62" fillId="0" borderId="3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left" vertical="top" wrapText="1" readingOrder="1"/>
    </xf>
    <xf numFmtId="0" fontId="59" fillId="0" borderId="29" xfId="0" applyFont="1" applyFill="1" applyBorder="1" applyAlignment="1">
      <alignment horizontal="left" vertical="top" wrapText="1" readingOrder="1"/>
    </xf>
    <xf numFmtId="0" fontId="62" fillId="0" borderId="52" xfId="0" applyFont="1" applyFill="1" applyBorder="1" applyAlignment="1">
      <alignment horizontal="center" vertical="top" wrapText="1" readingOrder="1"/>
    </xf>
    <xf numFmtId="2" fontId="59" fillId="0" borderId="43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top" wrapText="1"/>
    </xf>
    <xf numFmtId="0" fontId="59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62" fillId="0" borderId="52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2" fontId="59" fillId="0" borderId="43" xfId="0" applyNumberFormat="1" applyFont="1" applyFill="1" applyBorder="1" applyAlignment="1">
      <alignment horizontal="center" vertical="top" wrapText="1"/>
    </xf>
    <xf numFmtId="2" fontId="59" fillId="0" borderId="11" xfId="0" applyNumberFormat="1" applyFont="1" applyFill="1" applyBorder="1" applyAlignment="1">
      <alignment horizontal="center" vertical="top" wrapText="1"/>
    </xf>
    <xf numFmtId="2" fontId="59" fillId="0" borderId="44" xfId="0" applyNumberFormat="1" applyFont="1" applyFill="1" applyBorder="1" applyAlignment="1">
      <alignment horizontal="center" vertical="top" wrapText="1"/>
    </xf>
    <xf numFmtId="2" fontId="59" fillId="0" borderId="22" xfId="0" applyNumberFormat="1" applyFont="1" applyFill="1" applyBorder="1" applyAlignment="1">
      <alignment horizontal="center" vertical="top" wrapText="1"/>
    </xf>
    <xf numFmtId="2" fontId="62" fillId="0" borderId="12" xfId="0" applyNumberFormat="1" applyFont="1" applyFill="1" applyBorder="1" applyAlignment="1">
      <alignment horizontal="center" vertical="top" readingOrder="1"/>
    </xf>
    <xf numFmtId="2" fontId="62" fillId="0" borderId="29" xfId="0" applyNumberFormat="1" applyFont="1" applyFill="1" applyBorder="1" applyAlignment="1">
      <alignment horizontal="center" vertical="top" readingOrder="1"/>
    </xf>
    <xf numFmtId="0" fontId="62" fillId="0" borderId="11" xfId="0" applyFont="1" applyFill="1" applyBorder="1" applyAlignment="1">
      <alignment horizontal="left" vertical="center" wrapText="1" readingOrder="1"/>
    </xf>
    <xf numFmtId="1" fontId="62" fillId="0" borderId="12" xfId="0" applyNumberFormat="1" applyFont="1" applyFill="1" applyBorder="1" applyAlignment="1">
      <alignment horizontal="center" vertical="center" wrapText="1" readingOrder="1"/>
    </xf>
    <xf numFmtId="0" fontId="59" fillId="0" borderId="11" xfId="0" applyFont="1" applyFill="1" applyBorder="1" applyAlignment="1">
      <alignment horizontal="left" vertical="center" wrapText="1" readingOrder="1"/>
    </xf>
    <xf numFmtId="0" fontId="59" fillId="0" borderId="16" xfId="0" applyFont="1" applyFill="1" applyBorder="1" applyAlignment="1">
      <alignment horizontal="left" vertical="center" wrapText="1" readingOrder="1"/>
    </xf>
    <xf numFmtId="0" fontId="62" fillId="0" borderId="12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 horizontal="center" vertical="top" readingOrder="1"/>
    </xf>
    <xf numFmtId="0" fontId="0" fillId="0" borderId="16" xfId="0" applyFill="1" applyBorder="1" applyAlignment="1">
      <alignment horizontal="center" vertical="top" readingOrder="1"/>
    </xf>
    <xf numFmtId="0" fontId="0" fillId="0" borderId="29" xfId="0" applyFill="1" applyBorder="1" applyAlignment="1">
      <alignment horizontal="left" wrapText="1" readingOrder="1"/>
    </xf>
    <xf numFmtId="0" fontId="0" fillId="0" borderId="16" xfId="0" applyFill="1" applyBorder="1" applyAlignment="1">
      <alignment horizontal="left" wrapText="1" readingOrder="1"/>
    </xf>
    <xf numFmtId="0" fontId="0" fillId="0" borderId="29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0" fontId="62" fillId="0" borderId="29" xfId="0" applyFont="1" applyFill="1" applyBorder="1" applyAlignment="1">
      <alignment horizontal="center" vertical="top" readingOrder="1"/>
    </xf>
    <xf numFmtId="178" fontId="62" fillId="0" borderId="11" xfId="0" applyNumberFormat="1" applyFont="1" applyFill="1" applyBorder="1" applyAlignment="1">
      <alignment horizontal="center" vertical="top" readingOrder="1"/>
    </xf>
    <xf numFmtId="178" fontId="62" fillId="0" borderId="12" xfId="0" applyNumberFormat="1" applyFont="1" applyFill="1" applyBorder="1" applyAlignment="1">
      <alignment horizontal="center" vertical="top" readingOrder="1"/>
    </xf>
    <xf numFmtId="0" fontId="59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59" fillId="0" borderId="54" xfId="0" applyFont="1" applyFill="1" applyBorder="1" applyAlignment="1">
      <alignment horizontal="left" vertical="center" wrapText="1"/>
    </xf>
    <xf numFmtId="0" fontId="59" fillId="0" borderId="33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vertical="top" readingOrder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62" fillId="0" borderId="11" xfId="0" applyFont="1" applyFill="1" applyBorder="1" applyAlignment="1">
      <alignment vertical="top" wrapText="1" readingOrder="1"/>
    </xf>
    <xf numFmtId="0" fontId="0" fillId="0" borderId="11" xfId="0" applyFill="1" applyBorder="1" applyAlignment="1">
      <alignment readingOrder="1"/>
    </xf>
    <xf numFmtId="2" fontId="62" fillId="0" borderId="11" xfId="0" applyNumberFormat="1" applyFont="1" applyFill="1" applyBorder="1" applyAlignment="1">
      <alignment horizontal="center" vertical="top" readingOrder="1"/>
    </xf>
    <xf numFmtId="2" fontId="62" fillId="33" borderId="11" xfId="0" applyNumberFormat="1" applyFont="1" applyFill="1" applyBorder="1" applyAlignment="1">
      <alignment horizontal="center" vertical="top" readingOrder="1"/>
    </xf>
    <xf numFmtId="2" fontId="62" fillId="33" borderId="12" xfId="0" applyNumberFormat="1" applyFont="1" applyFill="1" applyBorder="1" applyAlignment="1">
      <alignment horizontal="center" vertical="top" readingOrder="1"/>
    </xf>
    <xf numFmtId="0" fontId="69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 readingOrder="1"/>
    </xf>
    <xf numFmtId="0" fontId="59" fillId="0" borderId="16" xfId="0" applyFont="1" applyFill="1" applyBorder="1" applyAlignment="1">
      <alignment horizontal="center" vertical="top" wrapText="1" readingOrder="1"/>
    </xf>
    <xf numFmtId="0" fontId="59" fillId="0" borderId="50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top" readingOrder="1"/>
    </xf>
    <xf numFmtId="0" fontId="62" fillId="0" borderId="16" xfId="0" applyFont="1" applyFill="1" applyBorder="1" applyAlignment="1">
      <alignment horizontal="center" vertical="top" readingOrder="1"/>
    </xf>
    <xf numFmtId="0" fontId="59" fillId="0" borderId="31" xfId="0" applyFont="1" applyFill="1" applyBorder="1" applyAlignment="1">
      <alignment vertical="top" wrapText="1"/>
    </xf>
    <xf numFmtId="0" fontId="59" fillId="0" borderId="53" xfId="0" applyFont="1" applyFill="1" applyBorder="1" applyAlignment="1">
      <alignment vertical="top" wrapText="1"/>
    </xf>
    <xf numFmtId="0" fontId="59" fillId="0" borderId="30" xfId="0" applyFont="1" applyFill="1" applyBorder="1" applyAlignment="1">
      <alignment vertical="top" wrapText="1"/>
    </xf>
    <xf numFmtId="0" fontId="60" fillId="0" borderId="29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vertical="top" wrapText="1" readingOrder="1"/>
    </xf>
    <xf numFmtId="0" fontId="60" fillId="0" borderId="16" xfId="0" applyFont="1" applyFill="1" applyBorder="1" applyAlignment="1">
      <alignment vertical="top" wrapText="1" readingOrder="1"/>
    </xf>
    <xf numFmtId="178" fontId="59" fillId="0" borderId="12" xfId="0" applyNumberFormat="1" applyFont="1" applyFill="1" applyBorder="1" applyAlignment="1">
      <alignment horizontal="center" vertical="top" readingOrder="1"/>
    </xf>
    <xf numFmtId="0" fontId="46" fillId="0" borderId="16" xfId="0" applyFont="1" applyFill="1" applyBorder="1" applyAlignment="1">
      <alignment/>
    </xf>
    <xf numFmtId="0" fontId="62" fillId="0" borderId="16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wrapText="1"/>
    </xf>
    <xf numFmtId="0" fontId="60" fillId="0" borderId="16" xfId="0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 readingOrder="1"/>
    </xf>
    <xf numFmtId="178" fontId="62" fillId="0" borderId="51" xfId="0" applyNumberFormat="1" applyFont="1" applyFill="1" applyBorder="1" applyAlignment="1">
      <alignment horizontal="center" vertical="top" readingOrder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62" fillId="0" borderId="51" xfId="0" applyFont="1" applyFill="1" applyBorder="1" applyAlignment="1">
      <alignment horizontal="center" vertical="top" readingOrder="1"/>
    </xf>
    <xf numFmtId="0" fontId="59" fillId="0" borderId="31" xfId="0" applyFont="1" applyFill="1" applyBorder="1" applyAlignment="1">
      <alignment vertical="top" wrapText="1" readingOrder="1"/>
    </xf>
    <xf numFmtId="0" fontId="59" fillId="0" borderId="53" xfId="0" applyFont="1" applyFill="1" applyBorder="1" applyAlignment="1">
      <alignment vertical="top" wrapText="1" readingOrder="1"/>
    </xf>
    <xf numFmtId="0" fontId="59" fillId="0" borderId="30" xfId="0" applyFont="1" applyFill="1" applyBorder="1" applyAlignment="1">
      <alignment vertical="top" wrapText="1" readingOrder="1"/>
    </xf>
    <xf numFmtId="0" fontId="60" fillId="0" borderId="52" xfId="0" applyFont="1" applyFill="1" applyBorder="1" applyAlignment="1">
      <alignment horizontal="center" vertical="top" readingOrder="1"/>
    </xf>
    <xf numFmtId="0" fontId="59" fillId="0" borderId="50" xfId="0" applyFont="1" applyFill="1" applyBorder="1" applyAlignment="1">
      <alignment vertical="top" wrapText="1"/>
    </xf>
    <xf numFmtId="0" fontId="65" fillId="0" borderId="54" xfId="0" applyFont="1" applyFill="1" applyBorder="1" applyAlignment="1">
      <alignment vertical="top" wrapText="1"/>
    </xf>
    <xf numFmtId="0" fontId="65" fillId="0" borderId="33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top" readingOrder="1"/>
    </xf>
    <xf numFmtId="0" fontId="62" fillId="0" borderId="0" xfId="0" applyFont="1" applyFill="1" applyBorder="1" applyAlignment="1">
      <alignment horizontal="right" vertical="center" wrapText="1" readingOrder="1"/>
    </xf>
    <xf numFmtId="0" fontId="62" fillId="0" borderId="39" xfId="0" applyFont="1" applyBorder="1" applyAlignment="1">
      <alignment horizontal="left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59" fillId="0" borderId="29" xfId="0" applyFont="1" applyBorder="1" applyAlignment="1">
      <alignment vertical="top" wrapText="1"/>
    </xf>
    <xf numFmtId="0" fontId="59" fillId="0" borderId="57" xfId="0" applyFont="1" applyBorder="1" applyAlignment="1">
      <alignment horizontal="left" vertical="center" wrapText="1"/>
    </xf>
    <xf numFmtId="0" fontId="46" fillId="0" borderId="59" xfId="0" applyFont="1" applyBorder="1" applyAlignment="1">
      <alignment horizontal="left" vertical="center" wrapText="1"/>
    </xf>
    <xf numFmtId="178" fontId="59" fillId="0" borderId="29" xfId="0" applyNumberFormat="1" applyFont="1" applyBorder="1" applyAlignment="1">
      <alignment horizontal="center" vertical="center" wrapText="1"/>
    </xf>
    <xf numFmtId="178" fontId="59" fillId="0" borderId="16" xfId="0" applyNumberFormat="1" applyFont="1" applyBorder="1" applyAlignment="1">
      <alignment horizontal="center" vertical="center" wrapText="1"/>
    </xf>
    <xf numFmtId="0" fontId="59" fillId="0" borderId="41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178" fontId="59" fillId="0" borderId="40" xfId="0" applyNumberFormat="1" applyFont="1" applyBorder="1" applyAlignment="1">
      <alignment horizontal="center" vertical="center" wrapText="1"/>
    </xf>
    <xf numFmtId="178" fontId="59" fillId="0" borderId="42" xfId="0" applyNumberFormat="1" applyFont="1" applyBorder="1" applyAlignment="1">
      <alignment horizontal="center" vertical="center" wrapText="1"/>
    </xf>
    <xf numFmtId="178" fontId="59" fillId="0" borderId="60" xfId="0" applyNumberFormat="1" applyFont="1" applyBorder="1" applyAlignment="1">
      <alignment horizontal="center" vertical="center" wrapText="1"/>
    </xf>
    <xf numFmtId="178" fontId="62" fillId="0" borderId="51" xfId="0" applyNumberFormat="1" applyFont="1" applyBorder="1" applyAlignment="1">
      <alignment horizontal="center" vertical="center" wrapText="1" readingOrder="1"/>
    </xf>
    <xf numFmtId="0" fontId="62" fillId="0" borderId="51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9" fillId="0" borderId="5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16" xfId="0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0" fontId="59" fillId="0" borderId="16" xfId="0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left" vertical="center" wrapText="1" readingOrder="1"/>
    </xf>
    <xf numFmtId="49" fontId="68" fillId="0" borderId="11" xfId="0" applyNumberFormat="1" applyFont="1" applyBorder="1" applyAlignment="1">
      <alignment horizontal="center" vertical="center" wrapText="1" readingOrder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/>
    </xf>
    <xf numFmtId="49" fontId="59" fillId="0" borderId="52" xfId="0" applyNumberFormat="1" applyFont="1" applyBorder="1" applyAlignment="1">
      <alignment horizontal="left" vertical="center" wrapText="1" readingOrder="1"/>
    </xf>
    <xf numFmtId="49" fontId="59" fillId="0" borderId="0" xfId="0" applyNumberFormat="1" applyFont="1" applyBorder="1" applyAlignment="1">
      <alignment horizontal="left" vertical="center" wrapText="1" readingOrder="1"/>
    </xf>
    <xf numFmtId="49" fontId="59" fillId="0" borderId="39" xfId="0" applyNumberFormat="1" applyFont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60" applyNumberFormat="1" applyFont="1" applyBorder="1" applyAlignment="1">
      <alignment horizontal="center" vertical="center" wrapText="1" readingOrder="1"/>
    </xf>
    <xf numFmtId="0" fontId="62" fillId="0" borderId="32" xfId="0" applyFont="1" applyBorder="1" applyAlignment="1">
      <alignment horizontal="left" vertical="center" wrapText="1" readingOrder="1"/>
    </xf>
    <xf numFmtId="0" fontId="62" fillId="0" borderId="30" xfId="0" applyFont="1" applyBorder="1" applyAlignment="1">
      <alignment horizontal="left" vertical="center" wrapText="1" readingOrder="1"/>
    </xf>
    <xf numFmtId="0" fontId="59" fillId="0" borderId="14" xfId="0" applyFont="1" applyBorder="1" applyAlignment="1">
      <alignment vertical="top" wrapText="1"/>
    </xf>
    <xf numFmtId="0" fontId="62" fillId="0" borderId="69" xfId="0" applyFont="1" applyBorder="1" applyAlignment="1">
      <alignment horizontal="center" vertical="top" wrapText="1"/>
    </xf>
    <xf numFmtId="0" fontId="59" fillId="0" borderId="67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178" fontId="59" fillId="0" borderId="37" xfId="0" applyNumberFormat="1" applyFont="1" applyBorder="1" applyAlignment="1">
      <alignment horizontal="center" vertical="center" wrapText="1"/>
    </xf>
    <xf numFmtId="178" fontId="59" fillId="0" borderId="0" xfId="0" applyNumberFormat="1" applyFont="1" applyBorder="1" applyAlignment="1">
      <alignment horizontal="center" vertical="center" wrapText="1"/>
    </xf>
    <xf numFmtId="178" fontId="59" fillId="0" borderId="7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tabSelected="1" zoomScale="115" zoomScaleNormal="115"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M22" sqref="M22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511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731" t="s">
        <v>306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54"/>
    </row>
    <row r="2" spans="1:12" ht="30.75" customHeight="1">
      <c r="A2" s="692" t="s">
        <v>531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54"/>
    </row>
    <row r="3" spans="1:12" ht="12" customHeight="1">
      <c r="A3" s="693"/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54"/>
    </row>
    <row r="4" spans="1:12" ht="16.5" customHeight="1">
      <c r="A4" s="733" t="s">
        <v>488</v>
      </c>
      <c r="B4" s="727" t="s">
        <v>489</v>
      </c>
      <c r="C4" s="727" t="s">
        <v>490</v>
      </c>
      <c r="D4" s="727" t="s">
        <v>491</v>
      </c>
      <c r="E4" s="732" t="s">
        <v>54</v>
      </c>
      <c r="F4" s="723">
        <v>2015</v>
      </c>
      <c r="G4" s="735">
        <v>2016</v>
      </c>
      <c r="H4" s="723">
        <v>2017</v>
      </c>
      <c r="I4" s="694">
        <v>2018</v>
      </c>
      <c r="J4" s="694">
        <v>2019</v>
      </c>
      <c r="K4" s="694">
        <v>2020</v>
      </c>
      <c r="L4" s="54"/>
    </row>
    <row r="5" spans="1:11" ht="18" customHeight="1">
      <c r="A5" s="733"/>
      <c r="B5" s="728"/>
      <c r="C5" s="728"/>
      <c r="D5" s="728"/>
      <c r="E5" s="732"/>
      <c r="F5" s="724"/>
      <c r="G5" s="736"/>
      <c r="H5" s="724"/>
      <c r="I5" s="694"/>
      <c r="J5" s="694"/>
      <c r="K5" s="694"/>
    </row>
    <row r="6" spans="1:12" s="518" customFormat="1" ht="15" customHeight="1" thickBot="1">
      <c r="A6" s="501">
        <v>1</v>
      </c>
      <c r="B6" s="501">
        <v>2</v>
      </c>
      <c r="C6" s="501">
        <v>3</v>
      </c>
      <c r="D6" s="501">
        <v>4</v>
      </c>
      <c r="E6" s="570">
        <v>5</v>
      </c>
      <c r="F6" s="501">
        <v>6</v>
      </c>
      <c r="G6" s="560">
        <v>7</v>
      </c>
      <c r="H6" s="501">
        <v>8</v>
      </c>
      <c r="I6" s="501">
        <v>9</v>
      </c>
      <c r="J6" s="501">
        <v>10</v>
      </c>
      <c r="K6" s="501">
        <v>11</v>
      </c>
      <c r="L6" s="517"/>
    </row>
    <row r="7" spans="1:12" s="11" customFormat="1" ht="14.25" customHeight="1">
      <c r="A7" s="698">
        <v>1</v>
      </c>
      <c r="B7" s="701" t="s">
        <v>494</v>
      </c>
      <c r="C7" s="695" t="s">
        <v>305</v>
      </c>
      <c r="D7" s="562" t="s">
        <v>11</v>
      </c>
      <c r="E7" s="562">
        <f>SUM(F7:K7)</f>
        <v>1024236.6989999999</v>
      </c>
      <c r="F7" s="562">
        <f aca="true" t="shared" si="0" ref="F7:K7">SUM(F8:F9)</f>
        <v>164366.81</v>
      </c>
      <c r="G7" s="562">
        <f t="shared" si="0"/>
        <v>154906.24000000002</v>
      </c>
      <c r="H7" s="562">
        <f t="shared" si="0"/>
        <v>160931.66999999998</v>
      </c>
      <c r="I7" s="562">
        <f t="shared" si="0"/>
        <v>184634.96999999997</v>
      </c>
      <c r="J7" s="562">
        <f t="shared" si="0"/>
        <v>173163.049</v>
      </c>
      <c r="K7" s="563">
        <f t="shared" si="0"/>
        <v>186233.96</v>
      </c>
      <c r="L7" s="56"/>
    </row>
    <row r="8" spans="1:12" s="11" customFormat="1" ht="14.25" customHeight="1">
      <c r="A8" s="699"/>
      <c r="B8" s="702"/>
      <c r="C8" s="696"/>
      <c r="D8" s="564" t="s">
        <v>5</v>
      </c>
      <c r="E8" s="565">
        <f>SUM(F8:K8)</f>
        <v>331173.347</v>
      </c>
      <c r="F8" s="564">
        <f>Модернизация!F72</f>
        <v>54136.11</v>
      </c>
      <c r="G8" s="564">
        <f>Модернизация!G72</f>
        <v>52740.238000000005</v>
      </c>
      <c r="H8" s="564">
        <f>Модернизация!H72</f>
        <v>49070.350000000006</v>
      </c>
      <c r="I8" s="564">
        <f>Модернизация!I72</f>
        <v>63894.78999999999</v>
      </c>
      <c r="J8" s="564">
        <f>Модернизация!J72</f>
        <v>51800.15900000001</v>
      </c>
      <c r="K8" s="566">
        <f>Модернизация!K72</f>
        <v>59531.70000000001</v>
      </c>
      <c r="L8" s="56"/>
    </row>
    <row r="9" spans="1:12" s="11" customFormat="1" ht="14.25" customHeight="1" thickBot="1">
      <c r="A9" s="700"/>
      <c r="B9" s="703"/>
      <c r="C9" s="697"/>
      <c r="D9" s="567" t="s">
        <v>6</v>
      </c>
      <c r="E9" s="568">
        <f>SUM(F9:K9)</f>
        <v>693063.352</v>
      </c>
      <c r="F9" s="567">
        <f>Модернизация!F73</f>
        <v>110230.7</v>
      </c>
      <c r="G9" s="567">
        <f>Модернизация!G73</f>
        <v>102166.00200000001</v>
      </c>
      <c r="H9" s="567">
        <f>Модернизация!H73</f>
        <v>111861.31999999998</v>
      </c>
      <c r="I9" s="567">
        <f>Модернизация!I73</f>
        <v>120740.18</v>
      </c>
      <c r="J9" s="567">
        <f>Модернизация!J73</f>
        <v>121362.89</v>
      </c>
      <c r="K9" s="569">
        <f>Модернизация!K73</f>
        <v>126702.25999999998</v>
      </c>
      <c r="L9" s="56"/>
    </row>
    <row r="10" spans="1:12" s="11" customFormat="1" ht="14.25" customHeight="1">
      <c r="A10" s="521"/>
      <c r="B10" s="522"/>
      <c r="C10" s="512" t="s">
        <v>445</v>
      </c>
      <c r="D10" s="523" t="s">
        <v>11</v>
      </c>
      <c r="E10" s="571">
        <f>Модернизация!E14</f>
        <v>460148.25399999996</v>
      </c>
      <c r="F10" s="558">
        <f>Модернизация!F14</f>
        <v>75399.5</v>
      </c>
      <c r="G10" s="506">
        <f>Модернизация!G14</f>
        <v>70165.695</v>
      </c>
      <c r="H10" s="558">
        <f>Модернизация!H14</f>
        <v>69383.25</v>
      </c>
      <c r="I10" s="558">
        <f>Модернизация!I14</f>
        <v>82612.47</v>
      </c>
      <c r="J10" s="558">
        <f>Модернизация!J14</f>
        <v>77637.429</v>
      </c>
      <c r="K10" s="558">
        <f>Модернизация!K14</f>
        <v>84949.91</v>
      </c>
      <c r="L10" s="56"/>
    </row>
    <row r="11" spans="1:12" s="11" customFormat="1" ht="14.25" customHeight="1">
      <c r="A11" s="500"/>
      <c r="B11" s="519"/>
      <c r="C11" s="513" t="s">
        <v>51</v>
      </c>
      <c r="D11" s="503" t="s">
        <v>11</v>
      </c>
      <c r="E11" s="565">
        <f>Модернизация!E21+Модернизация!E40+Модернизация!E58</f>
        <v>481158.09500000003</v>
      </c>
      <c r="F11" s="557">
        <f>Модернизация!F21+Модернизация!F40+Модернизация!F58</f>
        <v>74396.09000000001</v>
      </c>
      <c r="G11" s="430">
        <f>Модернизация!G21+Модернизация!G40+Модернизация!G58</f>
        <v>71368.985</v>
      </c>
      <c r="H11" s="557">
        <f>Модернизация!H21+Модернизация!H40+Модернизация!H58</f>
        <v>79139.7</v>
      </c>
      <c r="I11" s="557">
        <f>Модернизация!I21+Модернизация!I40+Модернизация!I58</f>
        <v>84268.12999999999</v>
      </c>
      <c r="J11" s="557">
        <f>Модернизация!J21+Модернизация!J40+Модернизация!J58</f>
        <v>83525.08</v>
      </c>
      <c r="K11" s="557">
        <f>Модернизация!K21+Модернизация!K40+Модернизация!K58</f>
        <v>88460.11</v>
      </c>
      <c r="L11" s="56"/>
    </row>
    <row r="12" spans="1:12" ht="14.25" customHeight="1">
      <c r="A12" s="520"/>
      <c r="B12" s="520"/>
      <c r="C12" s="513" t="s">
        <v>420</v>
      </c>
      <c r="D12" s="503" t="s">
        <v>11</v>
      </c>
      <c r="E12" s="565">
        <f>Модернизация!E24</f>
        <v>71848.15000000001</v>
      </c>
      <c r="F12" s="557">
        <f>Модернизация!F24</f>
        <v>12144.72</v>
      </c>
      <c r="G12" s="430">
        <f>Модернизация!G24</f>
        <v>11721.05</v>
      </c>
      <c r="H12" s="557">
        <f>Модернизация!H24</f>
        <v>11716.59</v>
      </c>
      <c r="I12" s="557">
        <f>Модернизация!I24</f>
        <v>12081.150000000001</v>
      </c>
      <c r="J12" s="557">
        <f>Модернизация!J24</f>
        <v>11405.62</v>
      </c>
      <c r="K12" s="557">
        <f>Модернизация!K24</f>
        <v>12779.02</v>
      </c>
      <c r="L12" s="55"/>
    </row>
    <row r="13" spans="1:12" ht="14.25" customHeight="1">
      <c r="A13" s="520"/>
      <c r="B13" s="520"/>
      <c r="C13" s="513" t="s">
        <v>307</v>
      </c>
      <c r="D13" s="503" t="s">
        <v>11</v>
      </c>
      <c r="E13" s="565">
        <f>Модернизация!E27+Модернизация!E34</f>
        <v>265</v>
      </c>
      <c r="F13" s="557">
        <f>Модернизация!F27+Модернизация!F34</f>
        <v>173</v>
      </c>
      <c r="G13" s="430">
        <f>Модернизация!G27+Модернизация!G34</f>
        <v>35</v>
      </c>
      <c r="H13" s="557">
        <f>Модернизация!H27+Модернизация!H34</f>
        <v>15</v>
      </c>
      <c r="I13" s="557">
        <f>Модернизация!I27+Модернизация!I34</f>
        <v>14</v>
      </c>
      <c r="J13" s="557">
        <f>Модернизация!J27+Модернизация!J34</f>
        <v>14</v>
      </c>
      <c r="K13" s="557">
        <f>Модернизация!K27+Модернизация!K34</f>
        <v>14</v>
      </c>
      <c r="L13" s="55"/>
    </row>
    <row r="14" spans="1:12" ht="14.25" customHeight="1">
      <c r="A14" s="520"/>
      <c r="B14" s="520"/>
      <c r="C14" s="513" t="s">
        <v>421</v>
      </c>
      <c r="D14" s="503" t="s">
        <v>11</v>
      </c>
      <c r="E14" s="565">
        <f>Модернизация!E30</f>
        <v>191.57000000000005</v>
      </c>
      <c r="F14" s="557">
        <f>Модернизация!F30</f>
        <v>44</v>
      </c>
      <c r="G14" s="430">
        <f>Модернизация!G30</f>
        <v>23.89</v>
      </c>
      <c r="H14" s="557">
        <f>Модернизация!H30</f>
        <v>30.92</v>
      </c>
      <c r="I14" s="557">
        <f>Модернизация!I30</f>
        <v>30.92</v>
      </c>
      <c r="J14" s="557">
        <f>Модернизация!J30</f>
        <v>30.92</v>
      </c>
      <c r="K14" s="557">
        <f>Модернизация!K30</f>
        <v>30.92</v>
      </c>
      <c r="L14" s="55"/>
    </row>
    <row r="15" spans="1:12" ht="14.25" customHeight="1" thickBot="1">
      <c r="A15" s="527"/>
      <c r="B15" s="527"/>
      <c r="C15" s="528" t="s">
        <v>146</v>
      </c>
      <c r="D15" s="529" t="s">
        <v>11</v>
      </c>
      <c r="E15" s="572">
        <f>Модернизация!E49+Модернизация!E55</f>
        <v>10115.51</v>
      </c>
      <c r="F15" s="529">
        <f>Модернизация!F49+Модернизация!F55</f>
        <v>2209.5</v>
      </c>
      <c r="G15" s="529">
        <f>Модернизация!G49+Модернизация!G55</f>
        <v>1470</v>
      </c>
      <c r="H15" s="529">
        <f>Модернизация!H49+Модернизация!H55</f>
        <v>646.21</v>
      </c>
      <c r="I15" s="529">
        <f>Модернизация!I49+Модернизация!I55</f>
        <v>5239.8</v>
      </c>
      <c r="J15" s="529">
        <f>Модернизация!J49+Модернизация!J55</f>
        <v>550</v>
      </c>
      <c r="K15" s="529">
        <f>Модернизация!K49+Модернизация!K55</f>
        <v>0</v>
      </c>
      <c r="L15" s="55"/>
    </row>
    <row r="16" spans="1:12" s="11" customFormat="1" ht="14.25" customHeight="1">
      <c r="A16" s="698">
        <v>2</v>
      </c>
      <c r="B16" s="701" t="s">
        <v>495</v>
      </c>
      <c r="C16" s="706" t="s">
        <v>304</v>
      </c>
      <c r="D16" s="562" t="s">
        <v>11</v>
      </c>
      <c r="E16" s="562">
        <f>SUM(F16:K16)</f>
        <v>5815.18</v>
      </c>
      <c r="F16" s="562">
        <f aca="true" t="shared" si="1" ref="F16:K16">F17+F18</f>
        <v>1040.44</v>
      </c>
      <c r="G16" s="562">
        <f>G17+G18</f>
        <v>1371.1499999999999</v>
      </c>
      <c r="H16" s="562">
        <f t="shared" si="1"/>
        <v>1112.5500000000002</v>
      </c>
      <c r="I16" s="562">
        <f t="shared" si="1"/>
        <v>1224.76</v>
      </c>
      <c r="J16" s="562">
        <f t="shared" si="1"/>
        <v>519.74</v>
      </c>
      <c r="K16" s="563">
        <f t="shared" si="1"/>
        <v>546.54</v>
      </c>
      <c r="L16" s="56"/>
    </row>
    <row r="17" spans="1:12" s="11" customFormat="1" ht="14.25" customHeight="1">
      <c r="A17" s="699"/>
      <c r="B17" s="702"/>
      <c r="C17" s="707"/>
      <c r="D17" s="564" t="s">
        <v>5</v>
      </c>
      <c r="E17" s="565">
        <f>SUM(F17:K17)</f>
        <v>4222.18</v>
      </c>
      <c r="F17" s="564">
        <f>'Молодежная политика'!F59</f>
        <v>791.84</v>
      </c>
      <c r="G17" s="564">
        <f>'Молодежная политика'!G59</f>
        <v>1092.85</v>
      </c>
      <c r="H17" s="564">
        <f>'Молодежная политика'!H59</f>
        <v>818.5500000000001</v>
      </c>
      <c r="I17" s="564">
        <f>'Молодежная политика'!I59</f>
        <v>966.62</v>
      </c>
      <c r="J17" s="564">
        <f>'Молодежная политика'!J59</f>
        <v>262.76</v>
      </c>
      <c r="K17" s="566">
        <f>'Молодежная политика'!K59</f>
        <v>289.56</v>
      </c>
      <c r="L17" s="56"/>
    </row>
    <row r="18" spans="1:12" s="11" customFormat="1" ht="14.25" customHeight="1" thickBot="1">
      <c r="A18" s="700"/>
      <c r="B18" s="703"/>
      <c r="C18" s="708"/>
      <c r="D18" s="567" t="s">
        <v>6</v>
      </c>
      <c r="E18" s="568">
        <f>SUM(F18:K18)</f>
        <v>1593</v>
      </c>
      <c r="F18" s="567">
        <f>'Молодежная политика'!F60</f>
        <v>248.6</v>
      </c>
      <c r="G18" s="567">
        <f>'Молодежная политика'!G60</f>
        <v>278.3</v>
      </c>
      <c r="H18" s="567">
        <f>'Молодежная политика'!H60</f>
        <v>294</v>
      </c>
      <c r="I18" s="567">
        <f>'Молодежная политика'!I60</f>
        <v>258.14</v>
      </c>
      <c r="J18" s="567">
        <f>'Молодежная политика'!J60</f>
        <v>256.98</v>
      </c>
      <c r="K18" s="569">
        <f>'Молодежная политика'!K60</f>
        <v>256.98</v>
      </c>
      <c r="L18" s="56"/>
    </row>
    <row r="19" spans="1:12" s="11" customFormat="1" ht="14.25" customHeight="1">
      <c r="A19" s="521"/>
      <c r="B19" s="522"/>
      <c r="C19" s="512" t="s">
        <v>437</v>
      </c>
      <c r="D19" s="523" t="s">
        <v>11</v>
      </c>
      <c r="E19" s="571">
        <f>'Молодежная политика'!E11+'Молодежная политика'!E29+'Молодежная политика'!E51</f>
        <v>846</v>
      </c>
      <c r="F19" s="558">
        <f>'Молодежная политика'!F11+'Молодежная политика'!F29+'Молодежная политика'!F51</f>
        <v>187</v>
      </c>
      <c r="G19" s="506">
        <f>'Молодежная политика'!G11+'Молодежная политика'!G29+'Молодежная политика'!G51</f>
        <v>407</v>
      </c>
      <c r="H19" s="558">
        <f>'Молодежная политика'!H11+'Молодежная политика'!H29+'Молодежная политика'!H51</f>
        <v>105</v>
      </c>
      <c r="I19" s="558">
        <f>'Молодежная политика'!I11+'Молодежная политика'!I29+'Молодежная политика'!I51</f>
        <v>147</v>
      </c>
      <c r="J19" s="558">
        <f>'Молодежная политика'!J11+'Молодежная политика'!J29+'Молодежная политика'!J51</f>
        <v>0</v>
      </c>
      <c r="K19" s="558">
        <f>'Молодежная политика'!K11+'Молодежная политика'!K29+'Молодежная политика'!K51</f>
        <v>0</v>
      </c>
      <c r="L19" s="56"/>
    </row>
    <row r="20" spans="1:12" s="11" customFormat="1" ht="14.25" customHeight="1">
      <c r="A20" s="500"/>
      <c r="B20" s="519"/>
      <c r="C20" s="513" t="s">
        <v>51</v>
      </c>
      <c r="D20" s="503" t="s">
        <v>11</v>
      </c>
      <c r="E20" s="565">
        <f>'Молодежная политика'!E38</f>
        <v>2526.7699999999995</v>
      </c>
      <c r="F20" s="557">
        <f>'Молодежная политика'!F38</f>
        <v>352.6</v>
      </c>
      <c r="G20" s="430">
        <f>'Молодежная политика'!G38</f>
        <v>378.3</v>
      </c>
      <c r="H20" s="557">
        <f>'Молодежная политика'!H38</f>
        <v>490.89</v>
      </c>
      <c r="I20" s="557">
        <f>'Молодежная политика'!I38</f>
        <v>521.5</v>
      </c>
      <c r="J20" s="557">
        <f>'Молодежная политика'!J38</f>
        <v>391.74</v>
      </c>
      <c r="K20" s="557">
        <f>'Молодежная политика'!K38</f>
        <v>391.74</v>
      </c>
      <c r="L20" s="56"/>
    </row>
    <row r="21" spans="1:12" ht="14.25" customHeight="1">
      <c r="A21" s="520"/>
      <c r="B21" s="520"/>
      <c r="C21" s="513" t="s">
        <v>420</v>
      </c>
      <c r="D21" s="503" t="s">
        <v>11</v>
      </c>
      <c r="E21" s="565">
        <f>'Молодежная политика'!E41</f>
        <v>60</v>
      </c>
      <c r="F21" s="557">
        <f>'Молодежная политика'!F41</f>
        <v>20</v>
      </c>
      <c r="G21" s="430">
        <f>'Молодежная политика'!G41</f>
        <v>20</v>
      </c>
      <c r="H21" s="557">
        <f>'Молодежная политика'!H41</f>
        <v>20</v>
      </c>
      <c r="I21" s="557">
        <f>'Молодежная политика'!I41</f>
        <v>0</v>
      </c>
      <c r="J21" s="557">
        <f>'Молодежная политика'!J41</f>
        <v>0</v>
      </c>
      <c r="K21" s="557">
        <f>'Молодежная политика'!K41</f>
        <v>0</v>
      </c>
      <c r="L21" s="55"/>
    </row>
    <row r="22" spans="1:12" ht="14.25" customHeight="1">
      <c r="A22" s="520"/>
      <c r="B22" s="520"/>
      <c r="C22" s="513" t="s">
        <v>307</v>
      </c>
      <c r="D22" s="503" t="s">
        <v>11</v>
      </c>
      <c r="E22" s="565">
        <f>'Молодежная политика'!E21+'Молодежная политика'!E44</f>
        <v>1919.02</v>
      </c>
      <c r="F22" s="557">
        <f>'Молодежная политика'!F21+'Молодежная политика'!F44</f>
        <v>352.12</v>
      </c>
      <c r="G22" s="430">
        <f>'Молодежная политика'!G21+'Молодежная политика'!G44</f>
        <v>447.39</v>
      </c>
      <c r="H22" s="557">
        <f>'Молодежная политика'!H21+'Молодежная политика'!H44</f>
        <v>390.41</v>
      </c>
      <c r="I22" s="557">
        <f>'Молодежная политика'!I21+'Молодежная политика'!I44</f>
        <v>446.30000000000007</v>
      </c>
      <c r="J22" s="557">
        <f>'Молодежная политика'!J21+'Молодежная политика'!J44</f>
        <v>128</v>
      </c>
      <c r="K22" s="557">
        <f>'Молодежная политика'!K21+'Молодежная политика'!K44</f>
        <v>154.8</v>
      </c>
      <c r="L22" s="55"/>
    </row>
    <row r="23" spans="1:12" ht="14.25" customHeight="1" thickBot="1">
      <c r="A23" s="520"/>
      <c r="B23" s="520"/>
      <c r="C23" s="513" t="s">
        <v>146</v>
      </c>
      <c r="D23" s="503" t="s">
        <v>11</v>
      </c>
      <c r="E23" s="565">
        <f>'Молодежная политика'!E47</f>
        <v>463.39</v>
      </c>
      <c r="F23" s="557">
        <f>'Молодежная политика'!F47</f>
        <v>128.72</v>
      </c>
      <c r="G23" s="430">
        <f>'Молодежная политика'!G47</f>
        <v>118.46000000000001</v>
      </c>
      <c r="H23" s="557">
        <f>'Молодежная политика'!H47</f>
        <v>106.25</v>
      </c>
      <c r="I23" s="557">
        <f>'Молодежная политика'!I47</f>
        <v>109.96</v>
      </c>
      <c r="J23" s="557">
        <f>'Молодежная политика'!J47</f>
        <v>0</v>
      </c>
      <c r="K23" s="557">
        <f>'Молодежная политика'!K47</f>
        <v>0</v>
      </c>
      <c r="L23" s="55"/>
    </row>
    <row r="24" spans="1:12" s="11" customFormat="1" ht="14.25" customHeight="1">
      <c r="A24" s="729">
        <v>3</v>
      </c>
      <c r="B24" s="701" t="s">
        <v>496</v>
      </c>
      <c r="C24" s="725" t="s">
        <v>152</v>
      </c>
      <c r="D24" s="562" t="s">
        <v>11</v>
      </c>
      <c r="E24" s="562">
        <f>SUM(F24:K24)</f>
        <v>58330.90000000001</v>
      </c>
      <c r="F24" s="562">
        <f aca="true" t="shared" si="2" ref="F24:K24">F25</f>
        <v>8640.8</v>
      </c>
      <c r="G24" s="562">
        <f t="shared" si="2"/>
        <v>9309.77</v>
      </c>
      <c r="H24" s="562">
        <f t="shared" si="2"/>
        <v>9712.76</v>
      </c>
      <c r="I24" s="562">
        <f t="shared" si="2"/>
        <v>10321.53</v>
      </c>
      <c r="J24" s="562">
        <f t="shared" si="2"/>
        <v>10138.02</v>
      </c>
      <c r="K24" s="563">
        <f t="shared" si="2"/>
        <v>10208.02</v>
      </c>
      <c r="L24" s="56"/>
    </row>
    <row r="25" spans="1:12" s="11" customFormat="1" ht="14.25" customHeight="1" thickBot="1">
      <c r="A25" s="730"/>
      <c r="B25" s="703"/>
      <c r="C25" s="726"/>
      <c r="D25" s="567" t="s">
        <v>5</v>
      </c>
      <c r="E25" s="567">
        <f>SUM(F25:K25)</f>
        <v>58330.90000000001</v>
      </c>
      <c r="F25" s="567">
        <f>МИТО!F34</f>
        <v>8640.8</v>
      </c>
      <c r="G25" s="567">
        <f>МИТО!G34</f>
        <v>9309.77</v>
      </c>
      <c r="H25" s="567">
        <f>МИТО!H34</f>
        <v>9712.76</v>
      </c>
      <c r="I25" s="567">
        <f>МИТО!I34</f>
        <v>10321.53</v>
      </c>
      <c r="J25" s="567">
        <f>МИТО!J34</f>
        <v>10138.02</v>
      </c>
      <c r="K25" s="569">
        <f>МИТО!K34</f>
        <v>10208.02</v>
      </c>
      <c r="L25" s="56"/>
    </row>
    <row r="26" spans="1:11" ht="8.25" customHeight="1" thickBot="1">
      <c r="A26" s="531"/>
      <c r="B26" s="532"/>
      <c r="C26" s="532"/>
      <c r="D26" s="532"/>
      <c r="E26" s="573"/>
      <c r="F26" s="532"/>
      <c r="G26" s="532"/>
      <c r="H26" s="532"/>
      <c r="I26" s="532"/>
      <c r="J26" s="532"/>
      <c r="K26" s="532"/>
    </row>
    <row r="27" spans="1:12" s="11" customFormat="1" ht="14.25" customHeight="1">
      <c r="A27" s="712"/>
      <c r="B27" s="709"/>
      <c r="C27" s="704" t="s">
        <v>151</v>
      </c>
      <c r="D27" s="502" t="s">
        <v>11</v>
      </c>
      <c r="E27" s="562">
        <f>SUM(F27:K27)</f>
        <v>6482.400000000001</v>
      </c>
      <c r="F27" s="502">
        <f aca="true" t="shared" si="3" ref="F27:K27">SUM(F28:F29)</f>
        <v>6482.400000000001</v>
      </c>
      <c r="G27" s="559">
        <f t="shared" si="3"/>
        <v>0</v>
      </c>
      <c r="H27" s="502">
        <f t="shared" si="3"/>
        <v>0</v>
      </c>
      <c r="I27" s="502">
        <f t="shared" si="3"/>
        <v>0</v>
      </c>
      <c r="J27" s="502">
        <f t="shared" si="3"/>
        <v>0</v>
      </c>
      <c r="K27" s="504">
        <f t="shared" si="3"/>
        <v>0</v>
      </c>
      <c r="L27" s="56"/>
    </row>
    <row r="28" spans="1:12" s="11" customFormat="1" ht="14.25" customHeight="1">
      <c r="A28" s="737"/>
      <c r="B28" s="710"/>
      <c r="C28" s="734"/>
      <c r="D28" s="499" t="s">
        <v>5</v>
      </c>
      <c r="E28" s="564">
        <f>SUM(F28:K28)</f>
        <v>5592.8</v>
      </c>
      <c r="F28" s="499">
        <f>ОКСМП!G61</f>
        <v>5592.8</v>
      </c>
      <c r="G28" s="430">
        <v>0</v>
      </c>
      <c r="H28" s="499">
        <f>ОКСМП!I61</f>
        <v>0</v>
      </c>
      <c r="I28" s="499">
        <f>ОКСМП!J61</f>
        <v>0</v>
      </c>
      <c r="J28" s="499">
        <v>0</v>
      </c>
      <c r="K28" s="524">
        <v>0</v>
      </c>
      <c r="L28" s="56"/>
    </row>
    <row r="29" spans="1:12" s="11" customFormat="1" ht="14.25" customHeight="1" thickBot="1">
      <c r="A29" s="713"/>
      <c r="B29" s="711"/>
      <c r="C29" s="705"/>
      <c r="D29" s="525" t="s">
        <v>6</v>
      </c>
      <c r="E29" s="567">
        <f>SUM(F29:K29)</f>
        <v>889.6</v>
      </c>
      <c r="F29" s="525">
        <f>ОКСМП!G62</f>
        <v>889.6</v>
      </c>
      <c r="G29" s="530">
        <v>0</v>
      </c>
      <c r="H29" s="525">
        <f>ОКСМП!I62</f>
        <v>0</v>
      </c>
      <c r="I29" s="525">
        <f>ОКСМП!J62</f>
        <v>0</v>
      </c>
      <c r="J29" s="525">
        <v>0</v>
      </c>
      <c r="K29" s="526">
        <v>0</v>
      </c>
      <c r="L29" s="56"/>
    </row>
    <row r="30" spans="1:11" ht="6.75" customHeight="1" thickBot="1">
      <c r="A30" s="531"/>
      <c r="B30" s="532"/>
      <c r="C30" s="532"/>
      <c r="D30" s="532"/>
      <c r="E30" s="573"/>
      <c r="F30" s="532"/>
      <c r="G30" s="532"/>
      <c r="H30" s="532"/>
      <c r="I30" s="532"/>
      <c r="J30" s="532"/>
      <c r="K30" s="532"/>
    </row>
    <row r="31" spans="1:12" s="11" customFormat="1" ht="14.25" customHeight="1">
      <c r="A31" s="712"/>
      <c r="B31" s="709"/>
      <c r="C31" s="704" t="s">
        <v>154</v>
      </c>
      <c r="D31" s="502" t="s">
        <v>11</v>
      </c>
      <c r="E31" s="562">
        <f>SUM(F31:I31)</f>
        <v>15957.039999999999</v>
      </c>
      <c r="F31" s="502">
        <f>SUM(F32:F32)</f>
        <v>15957.039999999999</v>
      </c>
      <c r="G31" s="559">
        <f>SUM(G32)</f>
        <v>0</v>
      </c>
      <c r="H31" s="502">
        <f>SUM(H32)</f>
        <v>0</v>
      </c>
      <c r="I31" s="502">
        <f>SUM(I32)</f>
        <v>0</v>
      </c>
      <c r="J31" s="502">
        <f>SUM(J32)</f>
        <v>0</v>
      </c>
      <c r="K31" s="504">
        <f>SUM(K32)</f>
        <v>0</v>
      </c>
      <c r="L31" s="56"/>
    </row>
    <row r="32" spans="1:12" s="11" customFormat="1" ht="14.25" customHeight="1" thickBot="1">
      <c r="A32" s="713"/>
      <c r="B32" s="711"/>
      <c r="C32" s="705"/>
      <c r="D32" s="525" t="s">
        <v>5</v>
      </c>
      <c r="E32" s="567">
        <f>SUM(F32:K32)</f>
        <v>15957.039999999999</v>
      </c>
      <c r="F32" s="525">
        <f>ЦБО!F28</f>
        <v>15957.039999999999</v>
      </c>
      <c r="G32" s="530">
        <f>ЦБО!G28</f>
        <v>0</v>
      </c>
      <c r="H32" s="525">
        <v>0</v>
      </c>
      <c r="I32" s="525">
        <v>0</v>
      </c>
      <c r="J32" s="525">
        <v>0</v>
      </c>
      <c r="K32" s="526">
        <v>0</v>
      </c>
      <c r="L32" s="56"/>
    </row>
    <row r="33" spans="3:11" ht="11.25" customHeight="1" thickBot="1">
      <c r="C33" s="510"/>
      <c r="D33" s="431"/>
      <c r="E33" s="574"/>
      <c r="F33" s="431"/>
      <c r="G33" s="561"/>
      <c r="H33" s="431"/>
      <c r="I33" s="431"/>
      <c r="J33" s="431"/>
      <c r="K33" s="431"/>
    </row>
    <row r="34" spans="1:11" ht="22.5" customHeight="1">
      <c r="A34" s="720"/>
      <c r="B34" s="714">
        <v>7000000000</v>
      </c>
      <c r="C34" s="717" t="s">
        <v>492</v>
      </c>
      <c r="D34" s="533" t="s">
        <v>493</v>
      </c>
      <c r="E34" s="534">
        <f>SUM(F34:K34)</f>
        <v>1110822.219</v>
      </c>
      <c r="F34" s="534">
        <f aca="true" t="shared" si="4" ref="F34:K34">SUM(F35:F36)</f>
        <v>196487.49</v>
      </c>
      <c r="G34" s="534">
        <f t="shared" si="4"/>
        <v>165587.16000000003</v>
      </c>
      <c r="H34" s="534">
        <f>SUM(H35:H36)</f>
        <v>171756.97999999998</v>
      </c>
      <c r="I34" s="534">
        <f>SUM(I35:I36)</f>
        <v>196181.26</v>
      </c>
      <c r="J34" s="534">
        <f t="shared" si="4"/>
        <v>183820.809</v>
      </c>
      <c r="K34" s="535">
        <f t="shared" si="4"/>
        <v>196988.52</v>
      </c>
    </row>
    <row r="35" spans="1:11" ht="14.25" customHeight="1">
      <c r="A35" s="721"/>
      <c r="B35" s="715"/>
      <c r="C35" s="718"/>
      <c r="D35" s="514" t="s">
        <v>5</v>
      </c>
      <c r="E35" s="515">
        <f>SUM(F35:K35)</f>
        <v>415276.26700000005</v>
      </c>
      <c r="F35" s="516">
        <f aca="true" t="shared" si="5" ref="F35:K35">F8+F17+F25+F28+F32</f>
        <v>85118.59</v>
      </c>
      <c r="G35" s="516">
        <f t="shared" si="5"/>
        <v>63142.85800000001</v>
      </c>
      <c r="H35" s="516">
        <f t="shared" si="5"/>
        <v>59601.66000000001</v>
      </c>
      <c r="I35" s="516">
        <f t="shared" si="5"/>
        <v>75182.94</v>
      </c>
      <c r="J35" s="516">
        <f t="shared" si="5"/>
        <v>62200.93900000001</v>
      </c>
      <c r="K35" s="536">
        <f t="shared" si="5"/>
        <v>70029.28000000001</v>
      </c>
    </row>
    <row r="36" spans="1:11" ht="14.25" customHeight="1" thickBot="1">
      <c r="A36" s="722"/>
      <c r="B36" s="716"/>
      <c r="C36" s="719"/>
      <c r="D36" s="537" t="s">
        <v>6</v>
      </c>
      <c r="E36" s="538">
        <f>SUM(F36:K36)</f>
        <v>695545.952</v>
      </c>
      <c r="F36" s="539">
        <f aca="true" t="shared" si="6" ref="F36:K36">F29+F18+F9</f>
        <v>111368.9</v>
      </c>
      <c r="G36" s="539">
        <f t="shared" si="6"/>
        <v>102444.30200000001</v>
      </c>
      <c r="H36" s="539">
        <f>H29+H18+H9</f>
        <v>112155.31999999998</v>
      </c>
      <c r="I36" s="539">
        <f t="shared" si="6"/>
        <v>120998.31999999999</v>
      </c>
      <c r="J36" s="539">
        <f>J29+J18+J9</f>
        <v>121619.87</v>
      </c>
      <c r="K36" s="540">
        <f t="shared" si="6"/>
        <v>126959.23999999998</v>
      </c>
    </row>
  </sheetData>
  <sheetProtection/>
  <mergeCells count="31">
    <mergeCell ref="I4:I5"/>
    <mergeCell ref="G4:G5"/>
    <mergeCell ref="B16:B18"/>
    <mergeCell ref="A27:A29"/>
    <mergeCell ref="J4:J5"/>
    <mergeCell ref="C24:C25"/>
    <mergeCell ref="C4:C5"/>
    <mergeCell ref="D4:D5"/>
    <mergeCell ref="A24:A25"/>
    <mergeCell ref="A1:K1"/>
    <mergeCell ref="E4:E5"/>
    <mergeCell ref="F4:F5"/>
    <mergeCell ref="A4:A5"/>
    <mergeCell ref="B4:B5"/>
    <mergeCell ref="B34:B36"/>
    <mergeCell ref="A16:A18"/>
    <mergeCell ref="B24:B25"/>
    <mergeCell ref="B31:B32"/>
    <mergeCell ref="C34:C36"/>
    <mergeCell ref="A34:A36"/>
    <mergeCell ref="C27:C29"/>
    <mergeCell ref="A2:K3"/>
    <mergeCell ref="K4:K5"/>
    <mergeCell ref="C7:C9"/>
    <mergeCell ref="A7:A9"/>
    <mergeCell ref="B7:B9"/>
    <mergeCell ref="C31:C32"/>
    <mergeCell ref="C16:C18"/>
    <mergeCell ref="B27:B29"/>
    <mergeCell ref="A31:A32"/>
    <mergeCell ref="H4:H5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5" customWidth="1"/>
    <col min="3" max="3" width="6.421875" style="396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183" t="s">
        <v>463</v>
      </c>
      <c r="G1" s="1183"/>
      <c r="H1" s="1183"/>
      <c r="I1" s="1183"/>
      <c r="J1" s="1183"/>
      <c r="K1" s="1183"/>
      <c r="L1" s="1183"/>
      <c r="M1" s="1183"/>
      <c r="N1" s="1183"/>
      <c r="O1" s="1183"/>
    </row>
    <row r="2" spans="1:15" ht="39" customHeight="1">
      <c r="A2" s="1295" t="s">
        <v>388</v>
      </c>
      <c r="B2" s="1295"/>
      <c r="C2" s="1295"/>
      <c r="D2" s="1295"/>
      <c r="E2" s="1295"/>
      <c r="F2" s="1295"/>
      <c r="G2" s="1295"/>
      <c r="H2" s="1295"/>
      <c r="I2" s="1295"/>
      <c r="J2" s="1295"/>
      <c r="K2" s="1295"/>
      <c r="L2" s="1295"/>
      <c r="M2" s="1295"/>
      <c r="N2" s="1295"/>
      <c r="O2" s="1295"/>
    </row>
    <row r="3" ht="11.25" customHeight="1">
      <c r="O3" s="397" t="s">
        <v>7</v>
      </c>
    </row>
    <row r="4" spans="1:15" s="323" customFormat="1" ht="39" customHeight="1">
      <c r="A4" s="1186" t="s">
        <v>16</v>
      </c>
      <c r="B4" s="1296" t="s">
        <v>15</v>
      </c>
      <c r="C4" s="1186" t="s">
        <v>8</v>
      </c>
      <c r="D4" s="1186" t="s">
        <v>9</v>
      </c>
      <c r="E4" s="1298" t="s">
        <v>0</v>
      </c>
      <c r="F4" s="1299"/>
      <c r="G4" s="1299"/>
      <c r="H4" s="1299"/>
      <c r="I4" s="1300"/>
      <c r="J4" s="1301" t="s">
        <v>17</v>
      </c>
      <c r="K4" s="1302"/>
      <c r="L4" s="1302"/>
      <c r="M4" s="1302"/>
      <c r="N4" s="1303"/>
      <c r="O4" s="1186" t="s">
        <v>14</v>
      </c>
    </row>
    <row r="5" spans="1:15" ht="15" customHeight="1">
      <c r="A5" s="1187"/>
      <c r="B5" s="1297"/>
      <c r="C5" s="1187"/>
      <c r="D5" s="1187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187"/>
    </row>
    <row r="6" spans="1:15" ht="10.5" customHeight="1">
      <c r="A6" s="334">
        <v>1</v>
      </c>
      <c r="B6" s="336">
        <v>2</v>
      </c>
      <c r="C6" s="334">
        <v>3</v>
      </c>
      <c r="D6" s="334">
        <v>4</v>
      </c>
      <c r="E6" s="334">
        <v>5</v>
      </c>
      <c r="F6" s="334">
        <v>7</v>
      </c>
      <c r="G6" s="334">
        <v>8</v>
      </c>
      <c r="H6" s="334">
        <v>9</v>
      </c>
      <c r="I6" s="334">
        <v>10</v>
      </c>
      <c r="J6" s="334">
        <v>11</v>
      </c>
      <c r="K6" s="334">
        <v>12</v>
      </c>
      <c r="L6" s="334">
        <v>13</v>
      </c>
      <c r="M6" s="334">
        <v>14</v>
      </c>
      <c r="N6" s="334">
        <v>15</v>
      </c>
      <c r="O6" s="334">
        <v>16</v>
      </c>
    </row>
    <row r="7" spans="1:15" ht="24" customHeight="1">
      <c r="A7" s="329"/>
      <c r="B7" s="1062" t="s">
        <v>389</v>
      </c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</row>
    <row r="8" spans="1:15" ht="15" customHeight="1">
      <c r="A8" s="398" t="s">
        <v>72</v>
      </c>
      <c r="B8" s="1285" t="s">
        <v>390</v>
      </c>
      <c r="C8" s="1285"/>
      <c r="D8" s="1285"/>
      <c r="E8" s="1285"/>
      <c r="F8" s="1285"/>
      <c r="G8" s="1285"/>
      <c r="H8" s="1285"/>
      <c r="I8" s="1285"/>
      <c r="J8" s="1285"/>
      <c r="K8" s="1285"/>
      <c r="L8" s="1285"/>
      <c r="M8" s="1285"/>
      <c r="N8" s="1285"/>
      <c r="O8" s="1286"/>
    </row>
    <row r="9" spans="1:15" ht="23.25" customHeight="1">
      <c r="A9" s="1287" t="s">
        <v>10</v>
      </c>
      <c r="B9" s="1161" t="s">
        <v>391</v>
      </c>
      <c r="C9" s="1290" t="s">
        <v>162</v>
      </c>
      <c r="D9" s="290" t="s">
        <v>392</v>
      </c>
      <c r="E9" s="429">
        <f>E10</f>
        <v>14144.179999999998</v>
      </c>
      <c r="F9" s="429">
        <f>F10</f>
        <v>14144.179999999998</v>
      </c>
      <c r="G9" s="332">
        <f>G10</f>
        <v>0</v>
      </c>
      <c r="H9" s="332">
        <f>H10</f>
        <v>0</v>
      </c>
      <c r="I9" s="332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288"/>
      <c r="B10" s="1289"/>
      <c r="C10" s="1291"/>
      <c r="D10" s="767" t="s">
        <v>5</v>
      </c>
      <c r="E10" s="1292">
        <f>SUM(F10:I10)</f>
        <v>14144.179999999998</v>
      </c>
      <c r="F10" s="1293">
        <f>14314.3-170.12</f>
        <v>14144.179999999998</v>
      </c>
      <c r="G10" s="1281">
        <v>0</v>
      </c>
      <c r="H10" s="1281">
        <v>0</v>
      </c>
      <c r="I10" s="1281">
        <v>0</v>
      </c>
      <c r="J10" s="349" t="s">
        <v>393</v>
      </c>
      <c r="K10" s="399">
        <v>100</v>
      </c>
      <c r="L10" s="399">
        <v>0</v>
      </c>
      <c r="M10" s="399">
        <v>0</v>
      </c>
      <c r="N10" s="399">
        <v>0</v>
      </c>
      <c r="O10" s="1140" t="s">
        <v>394</v>
      </c>
    </row>
    <row r="11" spans="1:15" ht="34.5" customHeight="1">
      <c r="A11" s="1288"/>
      <c r="B11" s="1289"/>
      <c r="C11" s="1291"/>
      <c r="D11" s="767"/>
      <c r="E11" s="1292"/>
      <c r="F11" s="1293"/>
      <c r="G11" s="1281"/>
      <c r="H11" s="1281"/>
      <c r="I11" s="1281"/>
      <c r="J11" s="349" t="s">
        <v>395</v>
      </c>
      <c r="K11" s="330" t="s">
        <v>396</v>
      </c>
      <c r="L11" s="330">
        <v>0</v>
      </c>
      <c r="M11" s="330">
        <v>0</v>
      </c>
      <c r="N11" s="330">
        <v>0</v>
      </c>
      <c r="O11" s="1140"/>
    </row>
    <row r="12" spans="1:15" ht="15" customHeight="1" thickBot="1">
      <c r="A12" s="1288"/>
      <c r="B12" s="1289"/>
      <c r="C12" s="1291"/>
      <c r="D12" s="1273"/>
      <c r="E12" s="1267"/>
      <c r="F12" s="1294"/>
      <c r="G12" s="1282"/>
      <c r="H12" s="1282"/>
      <c r="I12" s="1282"/>
      <c r="J12" s="349" t="s">
        <v>397</v>
      </c>
      <c r="K12" s="399">
        <v>100</v>
      </c>
      <c r="L12" s="399">
        <v>0</v>
      </c>
      <c r="M12" s="399">
        <v>0</v>
      </c>
      <c r="N12" s="399">
        <v>0</v>
      </c>
      <c r="O12" s="1140"/>
    </row>
    <row r="13" spans="1:15" ht="11.25" customHeight="1">
      <c r="A13" s="858"/>
      <c r="B13" s="1259" t="s">
        <v>23</v>
      </c>
      <c r="C13" s="1261"/>
      <c r="D13" s="1283" t="s">
        <v>392</v>
      </c>
      <c r="E13" s="1263">
        <f>SUM(F13:I14)</f>
        <v>14144.179999999998</v>
      </c>
      <c r="F13" s="1263">
        <f>SUM(F15:F15)</f>
        <v>14144.179999999998</v>
      </c>
      <c r="G13" s="1263">
        <f>SUM(G15:G15)</f>
        <v>0</v>
      </c>
      <c r="H13" s="1263">
        <f>SUM(H15:H15)</f>
        <v>0</v>
      </c>
      <c r="I13" s="1265">
        <f>SUM(I15:I15)</f>
        <v>0</v>
      </c>
      <c r="J13" s="1251"/>
      <c r="K13" s="858"/>
      <c r="L13" s="858"/>
      <c r="M13" s="858"/>
      <c r="N13" s="858"/>
      <c r="O13" s="858"/>
    </row>
    <row r="14" spans="1:15" ht="11.25" customHeight="1">
      <c r="A14" s="858"/>
      <c r="B14" s="1259"/>
      <c r="C14" s="1261"/>
      <c r="D14" s="1284"/>
      <c r="E14" s="1264"/>
      <c r="F14" s="1264"/>
      <c r="G14" s="1264"/>
      <c r="H14" s="1264"/>
      <c r="I14" s="1266"/>
      <c r="J14" s="1251"/>
      <c r="K14" s="858"/>
      <c r="L14" s="858"/>
      <c r="M14" s="858"/>
      <c r="N14" s="858"/>
      <c r="O14" s="858"/>
    </row>
    <row r="15" spans="1:15" ht="11.25" customHeight="1">
      <c r="A15" s="858"/>
      <c r="B15" s="1259"/>
      <c r="C15" s="1261"/>
      <c r="D15" s="400" t="s">
        <v>5</v>
      </c>
      <c r="E15" s="432">
        <f>SUM(E10)</f>
        <v>14144.179999999998</v>
      </c>
      <c r="F15" s="432">
        <f>SUM(F10)</f>
        <v>14144.179999999998</v>
      </c>
      <c r="G15" s="432">
        <f>SUM(G10)</f>
        <v>0</v>
      </c>
      <c r="H15" s="432">
        <f>SUM(H10)</f>
        <v>0</v>
      </c>
      <c r="I15" s="433">
        <f>SUM(I10)</f>
        <v>0</v>
      </c>
      <c r="J15" s="1251"/>
      <c r="K15" s="858"/>
      <c r="L15" s="858"/>
      <c r="M15" s="858"/>
      <c r="N15" s="858"/>
      <c r="O15" s="858"/>
    </row>
    <row r="16" spans="1:15" ht="11.25" customHeight="1" thickBot="1">
      <c r="A16" s="992"/>
      <c r="B16" s="1260"/>
      <c r="C16" s="1262"/>
      <c r="D16" s="401" t="s">
        <v>6</v>
      </c>
      <c r="E16" s="434">
        <v>0</v>
      </c>
      <c r="F16" s="434">
        <v>0</v>
      </c>
      <c r="G16" s="434">
        <v>0</v>
      </c>
      <c r="H16" s="434">
        <v>0</v>
      </c>
      <c r="I16" s="435">
        <v>0</v>
      </c>
      <c r="J16" s="1252"/>
      <c r="K16" s="992"/>
      <c r="L16" s="992"/>
      <c r="M16" s="992"/>
      <c r="N16" s="992"/>
      <c r="O16" s="992"/>
    </row>
    <row r="17" spans="1:15" ht="12.75" customHeight="1">
      <c r="A17" s="402" t="s">
        <v>24</v>
      </c>
      <c r="B17" s="1271" t="s">
        <v>398</v>
      </c>
      <c r="C17" s="1271"/>
      <c r="D17" s="1272"/>
      <c r="E17" s="1272"/>
      <c r="F17" s="1272"/>
      <c r="G17" s="1272"/>
      <c r="H17" s="1272"/>
      <c r="I17" s="1272"/>
      <c r="J17" s="1271"/>
      <c r="K17" s="1271"/>
      <c r="L17" s="1271"/>
      <c r="M17" s="1271"/>
      <c r="N17" s="1271"/>
      <c r="O17" s="1271"/>
    </row>
    <row r="18" spans="1:15" ht="22.5" customHeight="1">
      <c r="A18" s="1273" t="s">
        <v>26</v>
      </c>
      <c r="B18" s="769" t="s">
        <v>399</v>
      </c>
      <c r="C18" s="758" t="s">
        <v>162</v>
      </c>
      <c r="D18" s="290" t="s">
        <v>392</v>
      </c>
      <c r="E18" s="436">
        <f>E19</f>
        <v>1812.86</v>
      </c>
      <c r="F18" s="436">
        <f>F19</f>
        <v>1812.86</v>
      </c>
      <c r="G18" s="436">
        <f>G19</f>
        <v>0</v>
      </c>
      <c r="H18" s="436">
        <f>H19</f>
        <v>0</v>
      </c>
      <c r="I18" s="436">
        <f>I19</f>
        <v>0</v>
      </c>
      <c r="J18" s="403"/>
      <c r="K18" s="403"/>
      <c r="L18" s="403"/>
      <c r="M18" s="403"/>
      <c r="N18" s="403"/>
      <c r="O18" s="403"/>
    </row>
    <row r="19" spans="1:15" ht="12.75" customHeight="1">
      <c r="A19" s="1274"/>
      <c r="B19" s="1276"/>
      <c r="C19" s="1278"/>
      <c r="D19" s="1273" t="s">
        <v>5</v>
      </c>
      <c r="E19" s="1267">
        <f>SUM(F19:I19)</f>
        <v>1812.86</v>
      </c>
      <c r="F19" s="1267">
        <f>1836.8-24+0.06</f>
        <v>1812.86</v>
      </c>
      <c r="G19" s="1267">
        <v>0</v>
      </c>
      <c r="H19" s="1267">
        <v>0</v>
      </c>
      <c r="I19" s="1267">
        <v>0</v>
      </c>
      <c r="J19" s="1269" t="s">
        <v>400</v>
      </c>
      <c r="K19" s="1270">
        <v>100</v>
      </c>
      <c r="L19" s="1270">
        <v>0</v>
      </c>
      <c r="M19" s="1270">
        <v>0</v>
      </c>
      <c r="N19" s="1270">
        <v>0</v>
      </c>
      <c r="O19" s="1140" t="s">
        <v>394</v>
      </c>
    </row>
    <row r="20" spans="1:15" ht="11.25" customHeight="1">
      <c r="A20" s="1274"/>
      <c r="B20" s="1276"/>
      <c r="C20" s="1278"/>
      <c r="D20" s="1280"/>
      <c r="E20" s="1268"/>
      <c r="F20" s="1268"/>
      <c r="G20" s="1268"/>
      <c r="H20" s="1268"/>
      <c r="I20" s="1268"/>
      <c r="J20" s="1269"/>
      <c r="K20" s="995"/>
      <c r="L20" s="995"/>
      <c r="M20" s="995"/>
      <c r="N20" s="995"/>
      <c r="O20" s="1140"/>
    </row>
    <row r="21" spans="1:15" ht="24.75" customHeight="1" thickBot="1">
      <c r="A21" s="1275"/>
      <c r="B21" s="1277"/>
      <c r="C21" s="1279"/>
      <c r="D21" s="1280"/>
      <c r="E21" s="1268"/>
      <c r="F21" s="1268"/>
      <c r="G21" s="1268"/>
      <c r="H21" s="1268"/>
      <c r="I21" s="1268"/>
      <c r="J21" s="404" t="s">
        <v>401</v>
      </c>
      <c r="K21" s="399">
        <v>100</v>
      </c>
      <c r="L21" s="399">
        <v>0</v>
      </c>
      <c r="M21" s="399">
        <v>0</v>
      </c>
      <c r="N21" s="399">
        <v>0</v>
      </c>
      <c r="O21" s="1140"/>
    </row>
    <row r="22" spans="1:15" ht="10.5" customHeight="1">
      <c r="A22" s="991"/>
      <c r="B22" s="1258" t="s">
        <v>43</v>
      </c>
      <c r="C22" s="1063"/>
      <c r="D22" s="405" t="s">
        <v>11</v>
      </c>
      <c r="E22" s="1263">
        <f>SUM(F22:I22)</f>
        <v>1812.86</v>
      </c>
      <c r="F22" s="1263">
        <f>SUM(F24:F24)</f>
        <v>1812.86</v>
      </c>
      <c r="G22" s="1263">
        <f>SUM(G24:G24)</f>
        <v>0</v>
      </c>
      <c r="H22" s="1263">
        <f>SUM(H24:H24)</f>
        <v>0</v>
      </c>
      <c r="I22" s="1265">
        <f>SUM(I24:I24)</f>
        <v>0</v>
      </c>
      <c r="J22" s="1147"/>
      <c r="K22" s="991"/>
      <c r="L22" s="991"/>
      <c r="M22" s="991"/>
      <c r="N22" s="991"/>
      <c r="O22" s="991"/>
    </row>
    <row r="23" spans="1:15" ht="10.5" customHeight="1">
      <c r="A23" s="858"/>
      <c r="B23" s="1259"/>
      <c r="C23" s="1261"/>
      <c r="D23" s="406" t="s">
        <v>12</v>
      </c>
      <c r="E23" s="1264"/>
      <c r="F23" s="1264"/>
      <c r="G23" s="1264"/>
      <c r="H23" s="1264"/>
      <c r="I23" s="1266"/>
      <c r="J23" s="1251"/>
      <c r="K23" s="858"/>
      <c r="L23" s="858"/>
      <c r="M23" s="858"/>
      <c r="N23" s="858"/>
      <c r="O23" s="858"/>
    </row>
    <row r="24" spans="1:15" ht="15" customHeight="1">
      <c r="A24" s="858"/>
      <c r="B24" s="1259"/>
      <c r="C24" s="1261"/>
      <c r="D24" s="400" t="s">
        <v>5</v>
      </c>
      <c r="E24" s="432">
        <f>SUM(E19)</f>
        <v>1812.86</v>
      </c>
      <c r="F24" s="432">
        <f>SUM(F19)</f>
        <v>1812.86</v>
      </c>
      <c r="G24" s="432">
        <f>SUM(G19)</f>
        <v>0</v>
      </c>
      <c r="H24" s="432">
        <f>SUM(H19)</f>
        <v>0</v>
      </c>
      <c r="I24" s="433">
        <f>SUM(I19)</f>
        <v>0</v>
      </c>
      <c r="J24" s="1251"/>
      <c r="K24" s="858"/>
      <c r="L24" s="858"/>
      <c r="M24" s="858"/>
      <c r="N24" s="858"/>
      <c r="O24" s="858"/>
    </row>
    <row r="25" spans="1:15" ht="15" customHeight="1" thickBot="1">
      <c r="A25" s="992"/>
      <c r="B25" s="1260"/>
      <c r="C25" s="1262"/>
      <c r="D25" s="407" t="s">
        <v>6</v>
      </c>
      <c r="E25" s="408">
        <v>0</v>
      </c>
      <c r="F25" s="408">
        <v>0</v>
      </c>
      <c r="G25" s="408">
        <v>0</v>
      </c>
      <c r="H25" s="408">
        <v>0</v>
      </c>
      <c r="I25" s="409">
        <v>0</v>
      </c>
      <c r="J25" s="1252"/>
      <c r="K25" s="992"/>
      <c r="L25" s="992"/>
      <c r="M25" s="992"/>
      <c r="N25" s="992"/>
      <c r="O25" s="992"/>
    </row>
    <row r="26" spans="1:15" s="411" customFormat="1" ht="12" customHeight="1">
      <c r="A26" s="1248"/>
      <c r="B26" s="1253" t="s">
        <v>13</v>
      </c>
      <c r="C26" s="1148"/>
      <c r="D26" s="410" t="s">
        <v>11</v>
      </c>
      <c r="E26" s="1256">
        <f>SUM(E28:E28)</f>
        <v>15957.039999999999</v>
      </c>
      <c r="F26" s="1256">
        <f>SUM(F28:F28)</f>
        <v>15957.039999999999</v>
      </c>
      <c r="G26" s="1044">
        <f>SUM(G28:G28)</f>
        <v>0</v>
      </c>
      <c r="H26" s="1044">
        <f>SUM(H28:H28)</f>
        <v>0</v>
      </c>
      <c r="I26" s="1046">
        <f>SUM(I28:I28)</f>
        <v>0</v>
      </c>
      <c r="J26" s="1147"/>
      <c r="K26" s="1248"/>
      <c r="L26" s="1248"/>
      <c r="M26" s="1248"/>
      <c r="N26" s="1248"/>
      <c r="O26" s="1248"/>
    </row>
    <row r="27" spans="1:15" s="411" customFormat="1" ht="12" customHeight="1">
      <c r="A27" s="1249"/>
      <c r="B27" s="1254"/>
      <c r="C27" s="1255"/>
      <c r="D27" s="412" t="s">
        <v>12</v>
      </c>
      <c r="E27" s="1257"/>
      <c r="F27" s="1257"/>
      <c r="G27" s="1045"/>
      <c r="H27" s="1045"/>
      <c r="I27" s="1047"/>
      <c r="J27" s="1251"/>
      <c r="K27" s="1249"/>
      <c r="L27" s="1249"/>
      <c r="M27" s="1249"/>
      <c r="N27" s="1249"/>
      <c r="O27" s="1249"/>
    </row>
    <row r="28" spans="1:15" s="411" customFormat="1" ht="12" customHeight="1">
      <c r="A28" s="1249"/>
      <c r="B28" s="1254"/>
      <c r="C28" s="1255"/>
      <c r="D28" s="412" t="s">
        <v>5</v>
      </c>
      <c r="E28" s="428">
        <f>SUM(F28:I28)</f>
        <v>15957.039999999999</v>
      </c>
      <c r="F28" s="428">
        <f>SUM(F15+F24)</f>
        <v>15957.039999999999</v>
      </c>
      <c r="G28" s="332">
        <f>SUM(G15+G24)</f>
        <v>0</v>
      </c>
      <c r="H28" s="332">
        <f>SUM(H15+H24)</f>
        <v>0</v>
      </c>
      <c r="I28" s="333">
        <f>SUM(I15+I24)</f>
        <v>0</v>
      </c>
      <c r="J28" s="1251"/>
      <c r="K28" s="1249"/>
      <c r="L28" s="1249"/>
      <c r="M28" s="1249"/>
      <c r="N28" s="1249"/>
      <c r="O28" s="1249"/>
    </row>
    <row r="29" spans="1:15" s="411" customFormat="1" ht="12" customHeight="1" thickBot="1">
      <c r="A29" s="1250"/>
      <c r="B29" s="990"/>
      <c r="C29" s="1150"/>
      <c r="D29" s="413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252"/>
      <c r="K29" s="1250"/>
      <c r="L29" s="1250"/>
      <c r="M29" s="1250"/>
      <c r="N29" s="1250"/>
      <c r="O29" s="1250"/>
    </row>
  </sheetData>
  <sheetProtection/>
  <mergeCells count="80">
    <mergeCell ref="F1:O1"/>
    <mergeCell ref="A2:O2"/>
    <mergeCell ref="A4:A5"/>
    <mergeCell ref="B4:B5"/>
    <mergeCell ref="C4:C5"/>
    <mergeCell ref="D4:D5"/>
    <mergeCell ref="E4:I4"/>
    <mergeCell ref="J4:N4"/>
    <mergeCell ref="O4:O5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I13:I14"/>
    <mergeCell ref="J13:J16"/>
    <mergeCell ref="K13:K16"/>
    <mergeCell ref="L13:L16"/>
    <mergeCell ref="M13:M16"/>
    <mergeCell ref="N13:N16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9:I21"/>
    <mergeCell ref="J19:J20"/>
    <mergeCell ref="K19:K20"/>
    <mergeCell ref="L19:L20"/>
    <mergeCell ref="M19:M20"/>
    <mergeCell ref="N19:N20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I59" sqref="I59:I60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330" t="s">
        <v>462</v>
      </c>
      <c r="I1" s="1330"/>
      <c r="J1" s="1330"/>
      <c r="K1" s="1330"/>
      <c r="L1" s="1330"/>
      <c r="M1" s="1330"/>
      <c r="N1" s="1330"/>
      <c r="O1" s="1330"/>
      <c r="P1" s="1330"/>
      <c r="Q1" s="1330"/>
    </row>
    <row r="2" spans="1:17" ht="39" customHeight="1">
      <c r="A2" s="1184" t="s">
        <v>387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4"/>
    </row>
    <row r="3" ht="12.75" customHeight="1">
      <c r="Q3" s="394" t="s">
        <v>7</v>
      </c>
    </row>
    <row r="4" spans="1:17" ht="42.75" customHeight="1">
      <c r="A4" s="1185" t="s">
        <v>16</v>
      </c>
      <c r="B4" s="1186" t="s">
        <v>15</v>
      </c>
      <c r="C4" s="1185" t="s">
        <v>8</v>
      </c>
      <c r="D4" s="1185" t="s">
        <v>9</v>
      </c>
      <c r="E4" s="1152" t="s">
        <v>0</v>
      </c>
      <c r="F4" s="1188"/>
      <c r="G4" s="1188"/>
      <c r="H4" s="1188"/>
      <c r="I4" s="1188"/>
      <c r="J4" s="1189"/>
      <c r="K4" s="1152" t="s">
        <v>386</v>
      </c>
      <c r="L4" s="1188"/>
      <c r="M4" s="1188"/>
      <c r="N4" s="1188"/>
      <c r="O4" s="1188"/>
      <c r="P4" s="1189"/>
      <c r="Q4" s="1186" t="s">
        <v>14</v>
      </c>
    </row>
    <row r="5" spans="1:17" ht="12" customHeight="1">
      <c r="A5" s="1185"/>
      <c r="B5" s="1187"/>
      <c r="C5" s="1185"/>
      <c r="D5" s="1185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87"/>
    </row>
    <row r="6" spans="1:17" ht="13.5" customHeight="1">
      <c r="A6" s="334">
        <v>1</v>
      </c>
      <c r="B6" s="334">
        <v>2</v>
      </c>
      <c r="C6" s="334">
        <v>3</v>
      </c>
      <c r="D6" s="334">
        <v>4</v>
      </c>
      <c r="E6" s="334">
        <v>5</v>
      </c>
      <c r="F6" s="334">
        <v>6</v>
      </c>
      <c r="G6" s="334">
        <v>7</v>
      </c>
      <c r="H6" s="334">
        <v>8</v>
      </c>
      <c r="I6" s="334">
        <v>9</v>
      </c>
      <c r="J6" s="334">
        <v>10</v>
      </c>
      <c r="K6" s="334">
        <v>11</v>
      </c>
      <c r="L6" s="334">
        <v>12</v>
      </c>
      <c r="M6" s="334">
        <v>13</v>
      </c>
      <c r="N6" s="334">
        <v>14</v>
      </c>
      <c r="O6" s="334">
        <v>15</v>
      </c>
      <c r="P6" s="334">
        <v>16</v>
      </c>
      <c r="Q6" s="334">
        <v>17</v>
      </c>
    </row>
    <row r="7" spans="1:17" ht="14.25" customHeight="1">
      <c r="A7" s="334"/>
      <c r="B7" s="1043" t="s">
        <v>385</v>
      </c>
      <c r="C7" s="1043"/>
      <c r="D7" s="1043"/>
      <c r="E7" s="1043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</row>
    <row r="8" spans="1:17" ht="13.5" customHeight="1">
      <c r="A8" s="329"/>
      <c r="B8" s="1326" t="s">
        <v>384</v>
      </c>
      <c r="C8" s="1327"/>
      <c r="D8" s="1327"/>
      <c r="E8" s="1327"/>
      <c r="F8" s="1327"/>
      <c r="G8" s="1327"/>
      <c r="H8" s="1327"/>
      <c r="I8" s="1327"/>
      <c r="J8" s="1327"/>
      <c r="K8" s="1327"/>
      <c r="L8" s="1327"/>
      <c r="M8" s="1327"/>
      <c r="N8" s="1327"/>
      <c r="O8" s="1327"/>
      <c r="P8" s="1327"/>
      <c r="Q8" s="1328"/>
    </row>
    <row r="9" spans="1:17" ht="36" customHeight="1">
      <c r="A9" s="1273" t="s">
        <v>10</v>
      </c>
      <c r="B9" s="1311" t="s">
        <v>383</v>
      </c>
      <c r="C9" s="1329" t="s">
        <v>42</v>
      </c>
      <c r="D9" s="381" t="s">
        <v>309</v>
      </c>
      <c r="E9" s="366">
        <f>E10</f>
        <v>2530.4</v>
      </c>
      <c r="F9" s="366">
        <f>F10</f>
        <v>830.4</v>
      </c>
      <c r="G9" s="366">
        <f>G10</f>
        <v>1700</v>
      </c>
      <c r="H9" s="366">
        <v>0</v>
      </c>
      <c r="I9" s="366">
        <f>I10</f>
        <v>0</v>
      </c>
      <c r="J9" s="366">
        <f>J10</f>
        <v>0</v>
      </c>
      <c r="K9" s="351" t="s">
        <v>382</v>
      </c>
      <c r="L9" s="356">
        <v>100</v>
      </c>
      <c r="M9" s="356">
        <v>100</v>
      </c>
      <c r="N9" s="356">
        <v>0</v>
      </c>
      <c r="O9" s="356">
        <v>0</v>
      </c>
      <c r="P9" s="356">
        <v>0</v>
      </c>
      <c r="Q9" s="758" t="s">
        <v>381</v>
      </c>
    </row>
    <row r="10" spans="1:17" ht="35.25" customHeight="1">
      <c r="A10" s="1280"/>
      <c r="B10" s="1318"/>
      <c r="C10" s="1325"/>
      <c r="D10" s="377" t="s">
        <v>5</v>
      </c>
      <c r="E10" s="358">
        <f>F10+G10+H10+I10+J10</f>
        <v>2530.4</v>
      </c>
      <c r="F10" s="376">
        <f>795.4+35</f>
        <v>830.4</v>
      </c>
      <c r="G10" s="461">
        <f>1239+10+451</f>
        <v>1700</v>
      </c>
      <c r="H10" s="376">
        <v>0</v>
      </c>
      <c r="I10" s="376">
        <v>0</v>
      </c>
      <c r="J10" s="376">
        <v>0</v>
      </c>
      <c r="K10" s="769" t="s">
        <v>380</v>
      </c>
      <c r="L10" s="1273">
        <v>0</v>
      </c>
      <c r="M10" s="1273">
        <v>0</v>
      </c>
      <c r="N10" s="1273">
        <v>0</v>
      </c>
      <c r="O10" s="1273">
        <v>0</v>
      </c>
      <c r="P10" s="1273">
        <v>0</v>
      </c>
      <c r="Q10" s="759"/>
    </row>
    <row r="11" spans="1:17" ht="35.25" customHeight="1" thickBot="1">
      <c r="A11" s="1305"/>
      <c r="B11" s="393"/>
      <c r="C11" s="392"/>
      <c r="D11" s="391"/>
      <c r="E11" s="391"/>
      <c r="F11" s="391"/>
      <c r="G11" s="391"/>
      <c r="H11" s="391"/>
      <c r="I11" s="391"/>
      <c r="J11" s="391"/>
      <c r="K11" s="771"/>
      <c r="L11" s="1305"/>
      <c r="M11" s="1305"/>
      <c r="N11" s="1305"/>
      <c r="O11" s="1305"/>
      <c r="P11" s="1305"/>
      <c r="Q11" s="760"/>
    </row>
    <row r="12" spans="1:17" ht="24" customHeight="1" thickBot="1">
      <c r="A12" s="390"/>
      <c r="B12" s="338" t="s">
        <v>379</v>
      </c>
      <c r="C12" s="389"/>
      <c r="D12" s="354" t="s">
        <v>309</v>
      </c>
      <c r="E12" s="388">
        <f>F12+G12+H12+I12+J12</f>
        <v>2530.4</v>
      </c>
      <c r="F12" s="388">
        <f>F9</f>
        <v>830.4</v>
      </c>
      <c r="G12" s="388">
        <f>G9</f>
        <v>1700</v>
      </c>
      <c r="H12" s="388">
        <f>H9</f>
        <v>0</v>
      </c>
      <c r="I12" s="388">
        <f>I9</f>
        <v>0</v>
      </c>
      <c r="J12" s="387">
        <f>J9</f>
        <v>0</v>
      </c>
      <c r="K12" s="351"/>
      <c r="L12" s="369"/>
      <c r="M12" s="369"/>
      <c r="N12" s="369"/>
      <c r="O12" s="369"/>
      <c r="P12" s="369"/>
      <c r="Q12" s="386"/>
    </row>
    <row r="13" spans="1:17" ht="11.25" customHeight="1">
      <c r="A13" s="356"/>
      <c r="B13" s="1322" t="s">
        <v>378</v>
      </c>
      <c r="C13" s="1323"/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1323"/>
      <c r="O13" s="1323"/>
      <c r="P13" s="1323"/>
      <c r="Q13" s="1324"/>
    </row>
    <row r="14" spans="1:17" ht="82.5" customHeight="1">
      <c r="A14" s="1273" t="s">
        <v>26</v>
      </c>
      <c r="B14" s="1062" t="s">
        <v>377</v>
      </c>
      <c r="C14" s="1273" t="s">
        <v>42</v>
      </c>
      <c r="D14" s="381" t="s">
        <v>309</v>
      </c>
      <c r="E14" s="385">
        <f>F14+G14+H14+I14+J14</f>
        <v>1601.7</v>
      </c>
      <c r="F14" s="385">
        <f>770.7+20</f>
        <v>790.7</v>
      </c>
      <c r="G14" s="385">
        <f>801+10</f>
        <v>811</v>
      </c>
      <c r="H14" s="385">
        <v>0</v>
      </c>
      <c r="I14" s="385">
        <v>0</v>
      </c>
      <c r="J14" s="385">
        <v>0</v>
      </c>
      <c r="K14" s="331" t="s">
        <v>376</v>
      </c>
      <c r="L14" s="356">
        <v>100</v>
      </c>
      <c r="M14" s="356">
        <v>100</v>
      </c>
      <c r="N14" s="356">
        <v>0</v>
      </c>
      <c r="O14" s="356">
        <v>0</v>
      </c>
      <c r="P14" s="356">
        <v>0</v>
      </c>
      <c r="Q14" s="1311" t="s">
        <v>375</v>
      </c>
    </row>
    <row r="15" spans="1:17" ht="27" customHeight="1">
      <c r="A15" s="1309"/>
      <c r="B15" s="1310"/>
      <c r="C15" s="1325"/>
      <c r="D15" s="1273" t="s">
        <v>5</v>
      </c>
      <c r="E15" s="1282">
        <f>F15+G15+H15+I15+J15</f>
        <v>1601.7</v>
      </c>
      <c r="F15" s="1282">
        <f>770.7+20</f>
        <v>790.7</v>
      </c>
      <c r="G15" s="1282">
        <f>801+10</f>
        <v>811</v>
      </c>
      <c r="H15" s="1282">
        <v>0</v>
      </c>
      <c r="I15" s="1282">
        <v>0</v>
      </c>
      <c r="J15" s="1282">
        <v>0</v>
      </c>
      <c r="K15" s="331" t="s">
        <v>374</v>
      </c>
      <c r="L15" s="356">
        <v>95</v>
      </c>
      <c r="M15" s="356">
        <v>95</v>
      </c>
      <c r="N15" s="356">
        <v>0</v>
      </c>
      <c r="O15" s="356">
        <v>0</v>
      </c>
      <c r="P15" s="356">
        <v>0</v>
      </c>
      <c r="Q15" s="1318"/>
    </row>
    <row r="16" spans="1:17" ht="36.75" customHeight="1" thickBot="1">
      <c r="A16" s="1317"/>
      <c r="B16" s="1310"/>
      <c r="C16" s="1325"/>
      <c r="D16" s="1321"/>
      <c r="E16" s="1320"/>
      <c r="F16" s="1320"/>
      <c r="G16" s="1320"/>
      <c r="H16" s="1320"/>
      <c r="I16" s="1320"/>
      <c r="J16" s="1320"/>
      <c r="K16" s="331" t="s">
        <v>373</v>
      </c>
      <c r="L16" s="356" t="s">
        <v>356</v>
      </c>
      <c r="M16" s="356" t="s">
        <v>356</v>
      </c>
      <c r="N16" s="356">
        <v>0</v>
      </c>
      <c r="O16" s="356">
        <v>0</v>
      </c>
      <c r="P16" s="356">
        <v>0</v>
      </c>
      <c r="Q16" s="1312"/>
    </row>
    <row r="17" spans="1:17" ht="30" customHeight="1" thickBot="1">
      <c r="A17" s="355"/>
      <c r="B17" s="331" t="s">
        <v>372</v>
      </c>
      <c r="C17" s="355"/>
      <c r="D17" s="354" t="s">
        <v>309</v>
      </c>
      <c r="E17" s="353">
        <f>SUM(F17:J17)</f>
        <v>1601.7</v>
      </c>
      <c r="F17" s="353">
        <f>F14</f>
        <v>790.7</v>
      </c>
      <c r="G17" s="353">
        <f>G14</f>
        <v>811</v>
      </c>
      <c r="H17" s="353">
        <f>H14</f>
        <v>0</v>
      </c>
      <c r="I17" s="353">
        <f>I14</f>
        <v>0</v>
      </c>
      <c r="J17" s="352">
        <f>J14</f>
        <v>0</v>
      </c>
      <c r="K17" s="351"/>
      <c r="L17" s="350"/>
      <c r="M17" s="350"/>
      <c r="N17" s="350"/>
      <c r="O17" s="350"/>
      <c r="P17" s="350"/>
      <c r="Q17" s="349"/>
    </row>
    <row r="18" spans="1:17" ht="12.75" customHeight="1">
      <c r="A18" s="356"/>
      <c r="B18" s="1306" t="s">
        <v>371</v>
      </c>
      <c r="C18" s="1307"/>
      <c r="D18" s="1307"/>
      <c r="E18" s="1307"/>
      <c r="F18" s="1307"/>
      <c r="G18" s="1307"/>
      <c r="H18" s="1307"/>
      <c r="I18" s="1307"/>
      <c r="J18" s="1307"/>
      <c r="K18" s="1307"/>
      <c r="L18" s="1307"/>
      <c r="M18" s="1307"/>
      <c r="N18" s="1307"/>
      <c r="O18" s="1307"/>
      <c r="P18" s="1307"/>
      <c r="Q18" s="1308"/>
    </row>
    <row r="19" spans="1:17" ht="33.75" customHeight="1">
      <c r="A19" s="1273" t="s">
        <v>30</v>
      </c>
      <c r="B19" s="1062" t="s">
        <v>370</v>
      </c>
      <c r="C19" s="1273" t="s">
        <v>42</v>
      </c>
      <c r="D19" s="361" t="s">
        <v>309</v>
      </c>
      <c r="E19" s="366">
        <f>SUM(F19:J19)</f>
        <v>745.3</v>
      </c>
      <c r="F19" s="366">
        <v>365.3</v>
      </c>
      <c r="G19" s="366">
        <v>380</v>
      </c>
      <c r="H19" s="366">
        <v>0</v>
      </c>
      <c r="I19" s="366">
        <v>0</v>
      </c>
      <c r="J19" s="366">
        <v>0</v>
      </c>
      <c r="K19" s="331" t="s">
        <v>369</v>
      </c>
      <c r="L19" s="356">
        <v>100</v>
      </c>
      <c r="M19" s="356">
        <v>100</v>
      </c>
      <c r="N19" s="356">
        <v>0</v>
      </c>
      <c r="O19" s="356">
        <v>0</v>
      </c>
      <c r="P19" s="356">
        <v>0</v>
      </c>
      <c r="Q19" s="1311" t="s">
        <v>349</v>
      </c>
    </row>
    <row r="20" spans="1:17" ht="60" customHeight="1">
      <c r="A20" s="1309"/>
      <c r="B20" s="1310"/>
      <c r="C20" s="1309"/>
      <c r="D20" s="1273" t="s">
        <v>5</v>
      </c>
      <c r="E20" s="1282">
        <f>SUM(F20:J21)</f>
        <v>745.3</v>
      </c>
      <c r="F20" s="1282">
        <v>365.3</v>
      </c>
      <c r="G20" s="1282">
        <v>380</v>
      </c>
      <c r="H20" s="1282">
        <v>0</v>
      </c>
      <c r="I20" s="1282">
        <v>0</v>
      </c>
      <c r="J20" s="1282">
        <v>0</v>
      </c>
      <c r="K20" s="331" t="s">
        <v>368</v>
      </c>
      <c r="L20" s="356">
        <v>25</v>
      </c>
      <c r="M20" s="356">
        <v>50</v>
      </c>
      <c r="N20" s="356">
        <v>0</v>
      </c>
      <c r="O20" s="356">
        <v>0</v>
      </c>
      <c r="P20" s="356">
        <v>0</v>
      </c>
      <c r="Q20" s="1318"/>
    </row>
    <row r="21" spans="1:17" ht="35.25" customHeight="1" thickBot="1">
      <c r="A21" s="1317"/>
      <c r="B21" s="1310"/>
      <c r="C21" s="1309"/>
      <c r="D21" s="1321"/>
      <c r="E21" s="1319"/>
      <c r="F21" s="1319"/>
      <c r="G21" s="1319"/>
      <c r="H21" s="1319"/>
      <c r="I21" s="1319"/>
      <c r="J21" s="1319"/>
      <c r="K21" s="331" t="s">
        <v>367</v>
      </c>
      <c r="L21" s="356" t="s">
        <v>356</v>
      </c>
      <c r="M21" s="356" t="s">
        <v>356</v>
      </c>
      <c r="N21" s="356">
        <v>0</v>
      </c>
      <c r="O21" s="356">
        <v>0</v>
      </c>
      <c r="P21" s="356">
        <v>0</v>
      </c>
      <c r="Q21" s="1312"/>
    </row>
    <row r="22" spans="1:17" ht="24.75" customHeight="1" thickBot="1">
      <c r="A22" s="384"/>
      <c r="B22" s="331" t="s">
        <v>366</v>
      </c>
      <c r="C22" s="355"/>
      <c r="D22" s="354" t="s">
        <v>309</v>
      </c>
      <c r="E22" s="353">
        <f>SUM(F22:J22)</f>
        <v>745.3</v>
      </c>
      <c r="F22" s="353">
        <f>F19</f>
        <v>365.3</v>
      </c>
      <c r="G22" s="353">
        <f>G19</f>
        <v>380</v>
      </c>
      <c r="H22" s="353">
        <f>H19</f>
        <v>0</v>
      </c>
      <c r="I22" s="353">
        <f>I19</f>
        <v>0</v>
      </c>
      <c r="J22" s="352">
        <f>J19</f>
        <v>0</v>
      </c>
      <c r="K22" s="383"/>
      <c r="L22" s="350"/>
      <c r="M22" s="350"/>
      <c r="N22" s="350"/>
      <c r="O22" s="350"/>
      <c r="P22" s="350"/>
      <c r="Q22" s="349"/>
    </row>
    <row r="23" spans="1:17" ht="12.75" customHeight="1">
      <c r="A23" s="382"/>
      <c r="B23" s="1306" t="s">
        <v>365</v>
      </c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8"/>
    </row>
    <row r="24" spans="1:17" ht="39" customHeight="1">
      <c r="A24" s="1273" t="s">
        <v>36</v>
      </c>
      <c r="B24" s="1062" t="s">
        <v>364</v>
      </c>
      <c r="C24" s="1273" t="s">
        <v>42</v>
      </c>
      <c r="D24" s="381" t="s">
        <v>309</v>
      </c>
      <c r="E24" s="380">
        <f>SUM(F24:J24)</f>
        <v>755.3</v>
      </c>
      <c r="F24" s="380">
        <v>365.3</v>
      </c>
      <c r="G24" s="380">
        <f>380+10</f>
        <v>390</v>
      </c>
      <c r="H24" s="380">
        <v>0</v>
      </c>
      <c r="I24" s="380">
        <v>0</v>
      </c>
      <c r="J24" s="380">
        <v>0</v>
      </c>
      <c r="K24" s="331" t="s">
        <v>363</v>
      </c>
      <c r="L24" s="357">
        <v>71.6</v>
      </c>
      <c r="M24" s="357">
        <v>72</v>
      </c>
      <c r="N24" s="357">
        <v>0</v>
      </c>
      <c r="O24" s="357">
        <v>0</v>
      </c>
      <c r="P24" s="357">
        <v>0</v>
      </c>
      <c r="Q24" s="1311" t="s">
        <v>349</v>
      </c>
    </row>
    <row r="25" spans="1:17" ht="80.25" customHeight="1">
      <c r="A25" s="1309"/>
      <c r="B25" s="1310"/>
      <c r="C25" s="1309"/>
      <c r="D25" s="379" t="s">
        <v>5</v>
      </c>
      <c r="E25" s="378">
        <f>SUM(F25:J25)</f>
        <v>755.3</v>
      </c>
      <c r="F25" s="378">
        <v>365.3</v>
      </c>
      <c r="G25" s="378">
        <f>380+10</f>
        <v>390</v>
      </c>
      <c r="H25" s="378">
        <v>0</v>
      </c>
      <c r="I25" s="378">
        <v>0</v>
      </c>
      <c r="J25" s="378">
        <v>0</v>
      </c>
      <c r="K25" s="331" t="s">
        <v>362</v>
      </c>
      <c r="L25" s="357">
        <v>90</v>
      </c>
      <c r="M25" s="357">
        <v>90</v>
      </c>
      <c r="N25" s="357">
        <v>0</v>
      </c>
      <c r="O25" s="357">
        <v>0</v>
      </c>
      <c r="P25" s="357">
        <v>0</v>
      </c>
      <c r="Q25" s="1318"/>
    </row>
    <row r="26" spans="1:17" ht="36.75" customHeight="1" thickBot="1">
      <c r="A26" s="1309"/>
      <c r="B26" s="1310"/>
      <c r="C26" s="1309"/>
      <c r="D26" s="375"/>
      <c r="E26" s="374"/>
      <c r="F26" s="374"/>
      <c r="G26" s="374"/>
      <c r="H26" s="374"/>
      <c r="I26" s="374"/>
      <c r="J26" s="374"/>
      <c r="K26" s="331" t="s">
        <v>361</v>
      </c>
      <c r="L26" s="357" t="s">
        <v>356</v>
      </c>
      <c r="M26" s="357" t="s">
        <v>356</v>
      </c>
      <c r="N26" s="357">
        <v>0</v>
      </c>
      <c r="O26" s="357">
        <v>0</v>
      </c>
      <c r="P26" s="357">
        <v>0</v>
      </c>
      <c r="Q26" s="1312"/>
    </row>
    <row r="27" spans="1:17" ht="23.25" customHeight="1" thickBot="1">
      <c r="A27" s="356"/>
      <c r="B27" s="331" t="s">
        <v>360</v>
      </c>
      <c r="C27" s="355"/>
      <c r="D27" s="354" t="s">
        <v>309</v>
      </c>
      <c r="E27" s="353">
        <f>SUM(F27:J27)</f>
        <v>755.3</v>
      </c>
      <c r="F27" s="353">
        <f>F24</f>
        <v>365.3</v>
      </c>
      <c r="G27" s="353">
        <f>G24</f>
        <v>390</v>
      </c>
      <c r="H27" s="353">
        <f>H24</f>
        <v>0</v>
      </c>
      <c r="I27" s="353">
        <f>I24</f>
        <v>0</v>
      </c>
      <c r="J27" s="352">
        <f>J24</f>
        <v>0</v>
      </c>
      <c r="K27" s="351"/>
      <c r="L27" s="350"/>
      <c r="M27" s="350"/>
      <c r="N27" s="350"/>
      <c r="O27" s="350"/>
      <c r="P27" s="350"/>
      <c r="Q27" s="349"/>
    </row>
    <row r="28" spans="1:17" ht="14.25" customHeight="1">
      <c r="A28" s="370"/>
      <c r="B28" s="1306" t="s">
        <v>359</v>
      </c>
      <c r="C28" s="1307"/>
      <c r="D28" s="1307"/>
      <c r="E28" s="1307"/>
      <c r="F28" s="1307"/>
      <c r="G28" s="1307"/>
      <c r="H28" s="1307"/>
      <c r="I28" s="1307"/>
      <c r="J28" s="1307"/>
      <c r="K28" s="1307"/>
      <c r="L28" s="1307"/>
      <c r="M28" s="1307"/>
      <c r="N28" s="1307"/>
      <c r="O28" s="1307"/>
      <c r="P28" s="1307"/>
      <c r="Q28" s="1308"/>
    </row>
    <row r="29" spans="1:17" ht="45.75" customHeight="1">
      <c r="A29" s="1273" t="s">
        <v>39</v>
      </c>
      <c r="B29" s="1062" t="s">
        <v>358</v>
      </c>
      <c r="C29" s="1273" t="s">
        <v>42</v>
      </c>
      <c r="D29" s="361" t="s">
        <v>309</v>
      </c>
      <c r="E29" s="366">
        <f>SUM(F29:J29)</f>
        <v>491.6</v>
      </c>
      <c r="F29" s="366">
        <f>182.6+25</f>
        <v>207.6</v>
      </c>
      <c r="G29" s="366">
        <f>190+94</f>
        <v>284</v>
      </c>
      <c r="H29" s="366">
        <v>0</v>
      </c>
      <c r="I29" s="366">
        <v>0</v>
      </c>
      <c r="J29" s="366">
        <v>0</v>
      </c>
      <c r="K29" s="331" t="s">
        <v>357</v>
      </c>
      <c r="L29" s="357" t="s">
        <v>356</v>
      </c>
      <c r="M29" s="357" t="s">
        <v>356</v>
      </c>
      <c r="N29" s="357">
        <v>0</v>
      </c>
      <c r="O29" s="357">
        <v>0</v>
      </c>
      <c r="P29" s="357">
        <v>0</v>
      </c>
      <c r="Q29" s="1311" t="s">
        <v>349</v>
      </c>
    </row>
    <row r="30" spans="1:17" ht="36.75" customHeight="1">
      <c r="A30" s="1309"/>
      <c r="B30" s="1310"/>
      <c r="C30" s="1309"/>
      <c r="D30" s="377" t="s">
        <v>5</v>
      </c>
      <c r="E30" s="376">
        <f>SUM(F30:J30)</f>
        <v>491.6</v>
      </c>
      <c r="F30" s="376">
        <f>182.6+25</f>
        <v>207.6</v>
      </c>
      <c r="G30" s="461">
        <f>190+94</f>
        <v>284</v>
      </c>
      <c r="H30" s="376">
        <v>0</v>
      </c>
      <c r="I30" s="376">
        <v>0</v>
      </c>
      <c r="J30" s="376">
        <v>0</v>
      </c>
      <c r="K30" s="331" t="s">
        <v>355</v>
      </c>
      <c r="L30" s="357">
        <v>8</v>
      </c>
      <c r="M30" s="357">
        <v>5</v>
      </c>
      <c r="N30" s="357">
        <v>0</v>
      </c>
      <c r="O30" s="357">
        <v>0</v>
      </c>
      <c r="P30" s="357">
        <v>0</v>
      </c>
      <c r="Q30" s="1318"/>
    </row>
    <row r="31" spans="1:17" ht="25.5" customHeight="1" thickBot="1">
      <c r="A31" s="1317"/>
      <c r="B31" s="1310"/>
      <c r="C31" s="1309"/>
      <c r="D31" s="375"/>
      <c r="E31" s="374"/>
      <c r="F31" s="374"/>
      <c r="G31" s="374"/>
      <c r="H31" s="374"/>
      <c r="I31" s="374"/>
      <c r="J31" s="374"/>
      <c r="K31" s="331" t="s">
        <v>354</v>
      </c>
      <c r="L31" s="357">
        <v>2</v>
      </c>
      <c r="M31" s="357">
        <v>1</v>
      </c>
      <c r="N31" s="357">
        <v>0</v>
      </c>
      <c r="O31" s="357">
        <v>0</v>
      </c>
      <c r="P31" s="357">
        <v>0</v>
      </c>
      <c r="Q31" s="1312"/>
    </row>
    <row r="32" spans="1:17" ht="22.5" customHeight="1" thickBot="1">
      <c r="A32" s="355"/>
      <c r="B32" s="331" t="s">
        <v>353</v>
      </c>
      <c r="C32" s="355"/>
      <c r="D32" s="354" t="s">
        <v>309</v>
      </c>
      <c r="E32" s="353">
        <f>SUM(F32:J32)</f>
        <v>491.6</v>
      </c>
      <c r="F32" s="353">
        <f>F29</f>
        <v>207.6</v>
      </c>
      <c r="G32" s="353">
        <f>G29</f>
        <v>284</v>
      </c>
      <c r="H32" s="353">
        <f>H29</f>
        <v>0</v>
      </c>
      <c r="I32" s="353">
        <f>I29</f>
        <v>0</v>
      </c>
      <c r="J32" s="352">
        <f>J29</f>
        <v>0</v>
      </c>
      <c r="K32" s="351"/>
      <c r="L32" s="350"/>
      <c r="M32" s="350"/>
      <c r="N32" s="350"/>
      <c r="O32" s="350"/>
      <c r="P32" s="350"/>
      <c r="Q32" s="349"/>
    </row>
    <row r="33" spans="1:17" ht="14.25" customHeight="1">
      <c r="A33" s="356"/>
      <c r="B33" s="1306" t="s">
        <v>352</v>
      </c>
      <c r="C33" s="1307"/>
      <c r="D33" s="1307"/>
      <c r="E33" s="1307"/>
      <c r="F33" s="1307"/>
      <c r="G33" s="1307"/>
      <c r="H33" s="1307"/>
      <c r="I33" s="1307"/>
      <c r="J33" s="1307"/>
      <c r="K33" s="1307"/>
      <c r="L33" s="1307"/>
      <c r="M33" s="1307"/>
      <c r="N33" s="1307"/>
      <c r="O33" s="1307"/>
      <c r="P33" s="1307"/>
      <c r="Q33" s="1308"/>
    </row>
    <row r="34" spans="1:17" ht="35.25" customHeight="1">
      <c r="A34" s="1273" t="s">
        <v>118</v>
      </c>
      <c r="B34" s="1062" t="s">
        <v>351</v>
      </c>
      <c r="C34" s="1273" t="s">
        <v>42</v>
      </c>
      <c r="D34" s="361" t="s">
        <v>309</v>
      </c>
      <c r="E34" s="360">
        <f>SUM(F34:J34)</f>
        <v>372.6</v>
      </c>
      <c r="F34" s="360">
        <v>182.6</v>
      </c>
      <c r="G34" s="360">
        <v>190</v>
      </c>
      <c r="H34" s="360">
        <v>0</v>
      </c>
      <c r="I34" s="360">
        <v>0</v>
      </c>
      <c r="J34" s="360">
        <v>0</v>
      </c>
      <c r="K34" s="331" t="s">
        <v>350</v>
      </c>
      <c r="L34" s="357">
        <v>41</v>
      </c>
      <c r="M34" s="357">
        <v>41</v>
      </c>
      <c r="N34" s="357">
        <v>0</v>
      </c>
      <c r="O34" s="357">
        <v>0</v>
      </c>
      <c r="P34" s="357">
        <v>0</v>
      </c>
      <c r="Q34" s="1311" t="s">
        <v>349</v>
      </c>
    </row>
    <row r="35" spans="1:17" ht="36.75" customHeight="1">
      <c r="A35" s="1309"/>
      <c r="B35" s="1310"/>
      <c r="C35" s="1309"/>
      <c r="D35" s="337" t="s">
        <v>5</v>
      </c>
      <c r="E35" s="358">
        <f>SUM(F35:J35)</f>
        <v>372.6</v>
      </c>
      <c r="F35" s="358">
        <v>182.6</v>
      </c>
      <c r="G35" s="358">
        <v>190</v>
      </c>
      <c r="H35" s="358">
        <v>0</v>
      </c>
      <c r="I35" s="358">
        <v>0</v>
      </c>
      <c r="J35" s="358">
        <v>0</v>
      </c>
      <c r="K35" s="331" t="s">
        <v>348</v>
      </c>
      <c r="L35" s="357">
        <v>37</v>
      </c>
      <c r="M35" s="357">
        <v>37</v>
      </c>
      <c r="N35" s="357">
        <v>0</v>
      </c>
      <c r="O35" s="357">
        <v>0</v>
      </c>
      <c r="P35" s="357">
        <v>0</v>
      </c>
      <c r="Q35" s="1318"/>
    </row>
    <row r="36" spans="1:17" ht="35.25" customHeight="1" thickBot="1">
      <c r="A36" s="1309"/>
      <c r="B36" s="1310"/>
      <c r="C36" s="1309"/>
      <c r="D36" s="375"/>
      <c r="E36" s="374"/>
      <c r="F36" s="374"/>
      <c r="G36" s="374"/>
      <c r="H36" s="374"/>
      <c r="I36" s="374"/>
      <c r="J36" s="374"/>
      <c r="K36" s="331" t="s">
        <v>347</v>
      </c>
      <c r="L36" s="357">
        <v>12</v>
      </c>
      <c r="M36" s="357">
        <v>15</v>
      </c>
      <c r="N36" s="357">
        <v>0</v>
      </c>
      <c r="O36" s="357">
        <v>0</v>
      </c>
      <c r="P36" s="357">
        <v>0</v>
      </c>
      <c r="Q36" s="1312"/>
    </row>
    <row r="37" spans="1:17" ht="20.25" customHeight="1" thickBot="1">
      <c r="A37" s="356"/>
      <c r="B37" s="335" t="s">
        <v>346</v>
      </c>
      <c r="C37" s="373"/>
      <c r="D37" s="354" t="s">
        <v>309</v>
      </c>
      <c r="E37" s="353">
        <f>SUM(F37:J37)</f>
        <v>372.6</v>
      </c>
      <c r="F37" s="353">
        <f>F34</f>
        <v>182.6</v>
      </c>
      <c r="G37" s="353">
        <f>G34</f>
        <v>190</v>
      </c>
      <c r="H37" s="353">
        <f>H34</f>
        <v>0</v>
      </c>
      <c r="I37" s="353">
        <f>I34</f>
        <v>0</v>
      </c>
      <c r="J37" s="352">
        <f>J34</f>
        <v>0</v>
      </c>
      <c r="K37" s="351"/>
      <c r="L37" s="350"/>
      <c r="M37" s="350"/>
      <c r="N37" s="350"/>
      <c r="O37" s="350"/>
      <c r="P37" s="350"/>
      <c r="Q37" s="349"/>
    </row>
    <row r="38" spans="1:17" ht="12" customHeight="1">
      <c r="A38" s="372"/>
      <c r="B38" s="1306" t="s">
        <v>345</v>
      </c>
      <c r="C38" s="1307"/>
      <c r="D38" s="1307"/>
      <c r="E38" s="1307"/>
      <c r="F38" s="1307"/>
      <c r="G38" s="1307"/>
      <c r="H38" s="1307"/>
      <c r="I38" s="1307"/>
      <c r="J38" s="1307"/>
      <c r="K38" s="1307"/>
      <c r="L38" s="1307"/>
      <c r="M38" s="1307"/>
      <c r="N38" s="1307"/>
      <c r="O38" s="1307"/>
      <c r="P38" s="1307"/>
      <c r="Q38" s="1308"/>
    </row>
    <row r="39" spans="1:17" ht="45" customHeight="1">
      <c r="A39" s="1273" t="s">
        <v>344</v>
      </c>
      <c r="B39" s="1062" t="s">
        <v>343</v>
      </c>
      <c r="C39" s="1273" t="s">
        <v>42</v>
      </c>
      <c r="D39" s="361" t="s">
        <v>309</v>
      </c>
      <c r="E39" s="360">
        <f>SUM(F39:J39)</f>
        <v>372.6</v>
      </c>
      <c r="F39" s="360">
        <v>182.6</v>
      </c>
      <c r="G39" s="360">
        <v>190</v>
      </c>
      <c r="H39" s="360">
        <v>0</v>
      </c>
      <c r="I39" s="360">
        <v>0</v>
      </c>
      <c r="J39" s="360">
        <v>0</v>
      </c>
      <c r="K39" s="331" t="s">
        <v>342</v>
      </c>
      <c r="L39" s="357">
        <v>48</v>
      </c>
      <c r="M39" s="357">
        <v>48</v>
      </c>
      <c r="N39" s="357">
        <v>0</v>
      </c>
      <c r="O39" s="357">
        <v>0</v>
      </c>
      <c r="P39" s="357">
        <v>0</v>
      </c>
      <c r="Q39" s="1311" t="s">
        <v>335</v>
      </c>
    </row>
    <row r="40" spans="1:17" ht="46.5" customHeight="1" thickBot="1">
      <c r="A40" s="1309"/>
      <c r="B40" s="1310"/>
      <c r="C40" s="1309"/>
      <c r="D40" s="337" t="s">
        <v>5</v>
      </c>
      <c r="E40" s="358">
        <f>SUM(F40:J40)</f>
        <v>372.6</v>
      </c>
      <c r="F40" s="358">
        <v>182.6</v>
      </c>
      <c r="G40" s="358">
        <v>190</v>
      </c>
      <c r="H40" s="358">
        <v>0</v>
      </c>
      <c r="I40" s="358">
        <v>0</v>
      </c>
      <c r="J40" s="358">
        <v>0</v>
      </c>
      <c r="K40" s="331" t="s">
        <v>341</v>
      </c>
      <c r="L40" s="357">
        <v>29.5</v>
      </c>
      <c r="M40" s="357">
        <v>29.5</v>
      </c>
      <c r="N40" s="357">
        <v>0</v>
      </c>
      <c r="O40" s="357">
        <v>0</v>
      </c>
      <c r="P40" s="357">
        <v>0</v>
      </c>
      <c r="Q40" s="1312"/>
    </row>
    <row r="41" spans="1:17" ht="20.25" customHeight="1" thickBot="1">
      <c r="A41" s="356"/>
      <c r="B41" s="331" t="s">
        <v>340</v>
      </c>
      <c r="C41" s="355"/>
      <c r="D41" s="354" t="s">
        <v>309</v>
      </c>
      <c r="E41" s="353">
        <f>SUM(F41:J41)</f>
        <v>372.6</v>
      </c>
      <c r="F41" s="353">
        <f>F39</f>
        <v>182.6</v>
      </c>
      <c r="G41" s="353">
        <f>G39</f>
        <v>190</v>
      </c>
      <c r="H41" s="353">
        <f>H39</f>
        <v>0</v>
      </c>
      <c r="I41" s="353">
        <f>I39</f>
        <v>0</v>
      </c>
      <c r="J41" s="352">
        <f>J39</f>
        <v>0</v>
      </c>
      <c r="K41" s="351"/>
      <c r="L41" s="350"/>
      <c r="M41" s="350"/>
      <c r="N41" s="350"/>
      <c r="O41" s="350"/>
      <c r="P41" s="350"/>
      <c r="Q41" s="349"/>
    </row>
    <row r="42" spans="1:17" ht="13.5" customHeight="1">
      <c r="A42" s="370"/>
      <c r="B42" s="1306" t="s">
        <v>339</v>
      </c>
      <c r="C42" s="1307"/>
      <c r="D42" s="1307"/>
      <c r="E42" s="1307"/>
      <c r="F42" s="1307"/>
      <c r="G42" s="1307"/>
      <c r="H42" s="1307"/>
      <c r="I42" s="1307"/>
      <c r="J42" s="1307"/>
      <c r="K42" s="1307"/>
      <c r="L42" s="1307"/>
      <c r="M42" s="1307"/>
      <c r="N42" s="1307"/>
      <c r="O42" s="1307"/>
      <c r="P42" s="1307"/>
      <c r="Q42" s="1308"/>
    </row>
    <row r="43" spans="1:17" ht="37.5" customHeight="1">
      <c r="A43" s="1273" t="s">
        <v>338</v>
      </c>
      <c r="B43" s="1062" t="s">
        <v>337</v>
      </c>
      <c r="C43" s="1273" t="s">
        <v>42</v>
      </c>
      <c r="D43" s="361" t="s">
        <v>309</v>
      </c>
      <c r="E43" s="360">
        <f>SUM(F43:J43)</f>
        <v>382.6</v>
      </c>
      <c r="F43" s="360">
        <v>182.6</v>
      </c>
      <c r="G43" s="360">
        <f>190+10</f>
        <v>200</v>
      </c>
      <c r="H43" s="360">
        <v>0</v>
      </c>
      <c r="I43" s="360">
        <v>0</v>
      </c>
      <c r="J43" s="360">
        <v>0</v>
      </c>
      <c r="K43" s="331" t="s">
        <v>336</v>
      </c>
      <c r="L43" s="357">
        <v>90</v>
      </c>
      <c r="M43" s="357">
        <v>90</v>
      </c>
      <c r="N43" s="357">
        <v>0</v>
      </c>
      <c r="O43" s="357">
        <v>0</v>
      </c>
      <c r="P43" s="357">
        <v>0</v>
      </c>
      <c r="Q43" s="1311" t="s">
        <v>335</v>
      </c>
    </row>
    <row r="44" spans="1:17" ht="24.75" customHeight="1" thickBot="1">
      <c r="A44" s="1309"/>
      <c r="B44" s="1310"/>
      <c r="C44" s="1309"/>
      <c r="D44" s="337" t="s">
        <v>5</v>
      </c>
      <c r="E44" s="358">
        <f>SUM(F44:J44)</f>
        <v>382.6</v>
      </c>
      <c r="F44" s="358">
        <v>182.6</v>
      </c>
      <c r="G44" s="358">
        <f>190+10</f>
        <v>200</v>
      </c>
      <c r="H44" s="358">
        <v>0</v>
      </c>
      <c r="I44" s="358">
        <v>0</v>
      </c>
      <c r="J44" s="358">
        <v>0</v>
      </c>
      <c r="K44" s="331" t="s">
        <v>334</v>
      </c>
      <c r="L44" s="357">
        <v>4</v>
      </c>
      <c r="M44" s="357">
        <v>5</v>
      </c>
      <c r="N44" s="357">
        <v>0</v>
      </c>
      <c r="O44" s="357">
        <v>0</v>
      </c>
      <c r="P44" s="357">
        <v>0</v>
      </c>
      <c r="Q44" s="1312"/>
    </row>
    <row r="45" spans="1:17" ht="21" customHeight="1" thickBot="1">
      <c r="A45" s="356"/>
      <c r="B45" s="331" t="s">
        <v>333</v>
      </c>
      <c r="C45" s="355"/>
      <c r="D45" s="354" t="s">
        <v>309</v>
      </c>
      <c r="E45" s="353">
        <f>SUM(F45:J45)</f>
        <v>382.6</v>
      </c>
      <c r="F45" s="353">
        <f>F43</f>
        <v>182.6</v>
      </c>
      <c r="G45" s="353">
        <f>G43</f>
        <v>200</v>
      </c>
      <c r="H45" s="353">
        <f>H43</f>
        <v>0</v>
      </c>
      <c r="I45" s="353">
        <f>I43</f>
        <v>0</v>
      </c>
      <c r="J45" s="352">
        <f>J43</f>
        <v>0</v>
      </c>
      <c r="K45" s="351"/>
      <c r="L45" s="350"/>
      <c r="M45" s="350"/>
      <c r="N45" s="350"/>
      <c r="O45" s="350"/>
      <c r="P45" s="350"/>
      <c r="Q45" s="349"/>
    </row>
    <row r="46" spans="1:17" ht="12" customHeight="1">
      <c r="A46" s="370"/>
      <c r="B46" s="1306" t="s">
        <v>332</v>
      </c>
      <c r="C46" s="1307"/>
      <c r="D46" s="1307"/>
      <c r="E46" s="1307"/>
      <c r="F46" s="1307"/>
      <c r="G46" s="1307"/>
      <c r="H46" s="1307"/>
      <c r="I46" s="1307"/>
      <c r="J46" s="1307"/>
      <c r="K46" s="1307"/>
      <c r="L46" s="1307"/>
      <c r="M46" s="1307"/>
      <c r="N46" s="1307"/>
      <c r="O46" s="1307"/>
      <c r="P46" s="1307"/>
      <c r="Q46" s="1308"/>
    </row>
    <row r="47" spans="1:17" ht="35.25" customHeight="1">
      <c r="A47" s="1273" t="s">
        <v>331</v>
      </c>
      <c r="B47" s="1062" t="s">
        <v>330</v>
      </c>
      <c r="C47" s="1273" t="s">
        <v>42</v>
      </c>
      <c r="D47" s="361" t="s">
        <v>309</v>
      </c>
      <c r="E47" s="360">
        <f>SUM(F47:J47)</f>
        <v>1056.1</v>
      </c>
      <c r="F47" s="360">
        <v>396.1</v>
      </c>
      <c r="G47" s="360">
        <f>650+10</f>
        <v>660</v>
      </c>
      <c r="H47" s="360">
        <v>0</v>
      </c>
      <c r="I47" s="360">
        <v>0</v>
      </c>
      <c r="J47" s="360">
        <v>0</v>
      </c>
      <c r="K47" s="331" t="s">
        <v>329</v>
      </c>
      <c r="L47" s="357">
        <v>12</v>
      </c>
      <c r="M47" s="357">
        <v>13</v>
      </c>
      <c r="N47" s="357">
        <v>0</v>
      </c>
      <c r="O47" s="357">
        <v>0</v>
      </c>
      <c r="P47" s="357">
        <v>0</v>
      </c>
      <c r="Q47" s="1311" t="s">
        <v>328</v>
      </c>
    </row>
    <row r="48" spans="1:17" ht="24.75" customHeight="1" thickBot="1">
      <c r="A48" s="1309"/>
      <c r="B48" s="1310"/>
      <c r="C48" s="1309"/>
      <c r="D48" s="337" t="s">
        <v>5</v>
      </c>
      <c r="E48" s="358">
        <f>SUM(F48:J48)</f>
        <v>1056.1</v>
      </c>
      <c r="F48" s="358">
        <v>396.1</v>
      </c>
      <c r="G48" s="358">
        <f>650+10</f>
        <v>660</v>
      </c>
      <c r="H48" s="358">
        <v>0</v>
      </c>
      <c r="I48" s="358">
        <v>0</v>
      </c>
      <c r="J48" s="358">
        <v>0</v>
      </c>
      <c r="K48" s="331" t="s">
        <v>327</v>
      </c>
      <c r="L48" s="357">
        <v>8</v>
      </c>
      <c r="M48" s="357">
        <v>8</v>
      </c>
      <c r="N48" s="357">
        <v>0</v>
      </c>
      <c r="O48" s="357">
        <v>0</v>
      </c>
      <c r="P48" s="357">
        <v>0</v>
      </c>
      <c r="Q48" s="1312"/>
    </row>
    <row r="49" spans="1:17" ht="21.75" customHeight="1" thickBot="1">
      <c r="A49" s="356"/>
      <c r="B49" s="331" t="s">
        <v>326</v>
      </c>
      <c r="C49" s="355"/>
      <c r="D49" s="354" t="s">
        <v>309</v>
      </c>
      <c r="E49" s="353">
        <f>SUM(F49:J49)</f>
        <v>1056.1</v>
      </c>
      <c r="F49" s="353">
        <f>F47</f>
        <v>396.1</v>
      </c>
      <c r="G49" s="353">
        <f>G47</f>
        <v>660</v>
      </c>
      <c r="H49" s="353">
        <f>H47</f>
        <v>0</v>
      </c>
      <c r="I49" s="353">
        <f>I47</f>
        <v>0</v>
      </c>
      <c r="J49" s="352">
        <f>J47</f>
        <v>0</v>
      </c>
      <c r="K49" s="371"/>
      <c r="L49" s="350"/>
      <c r="M49" s="350"/>
      <c r="N49" s="350"/>
      <c r="O49" s="350"/>
      <c r="P49" s="350"/>
      <c r="Q49" s="349"/>
    </row>
    <row r="50" spans="1:17" ht="14.25" customHeight="1">
      <c r="A50" s="370"/>
      <c r="B50" s="1306" t="s">
        <v>325</v>
      </c>
      <c r="C50" s="1307"/>
      <c r="D50" s="1307"/>
      <c r="E50" s="1307"/>
      <c r="F50" s="1307"/>
      <c r="G50" s="1307"/>
      <c r="H50" s="1307"/>
      <c r="I50" s="1307"/>
      <c r="J50" s="1307"/>
      <c r="K50" s="1307"/>
      <c r="L50" s="1307"/>
      <c r="M50" s="1307"/>
      <c r="N50" s="1307"/>
      <c r="O50" s="1307"/>
      <c r="P50" s="1307"/>
      <c r="Q50" s="1308"/>
    </row>
    <row r="51" spans="1:17" ht="29.25" customHeight="1">
      <c r="A51" s="1273" t="s">
        <v>324</v>
      </c>
      <c r="B51" s="1062" t="s">
        <v>323</v>
      </c>
      <c r="C51" s="1273" t="s">
        <v>42</v>
      </c>
      <c r="D51" s="1296" t="s">
        <v>317</v>
      </c>
      <c r="E51" s="1313">
        <f>SUM(F51:J52)</f>
        <v>1734</v>
      </c>
      <c r="F51" s="1313">
        <v>853</v>
      </c>
      <c r="G51" s="1313">
        <v>881</v>
      </c>
      <c r="H51" s="1313">
        <v>0</v>
      </c>
      <c r="I51" s="1313">
        <v>0</v>
      </c>
      <c r="J51" s="1313">
        <v>0</v>
      </c>
      <c r="K51" s="1248" t="s">
        <v>322</v>
      </c>
      <c r="L51" s="1273">
        <v>100</v>
      </c>
      <c r="M51" s="1273">
        <v>100</v>
      </c>
      <c r="N51" s="1273">
        <v>0</v>
      </c>
      <c r="O51" s="1273">
        <v>0</v>
      </c>
      <c r="P51" s="1273">
        <v>0</v>
      </c>
      <c r="Q51" s="758" t="s">
        <v>321</v>
      </c>
    </row>
    <row r="52" spans="1:17" ht="18" customHeight="1">
      <c r="A52" s="1309"/>
      <c r="B52" s="1310"/>
      <c r="C52" s="1309"/>
      <c r="D52" s="1316"/>
      <c r="E52" s="1314"/>
      <c r="F52" s="1314"/>
      <c r="G52" s="1314"/>
      <c r="H52" s="1314"/>
      <c r="I52" s="1314"/>
      <c r="J52" s="1314"/>
      <c r="K52" s="1249"/>
      <c r="L52" s="1280"/>
      <c r="M52" s="1280"/>
      <c r="N52" s="1280"/>
      <c r="O52" s="1280"/>
      <c r="P52" s="1280"/>
      <c r="Q52" s="759"/>
    </row>
    <row r="53" spans="1:17" ht="124.5" customHeight="1" thickBot="1">
      <c r="A53" s="369" t="s">
        <v>320</v>
      </c>
      <c r="B53" s="368" t="s">
        <v>319</v>
      </c>
      <c r="C53" s="367"/>
      <c r="D53" s="361" t="s">
        <v>317</v>
      </c>
      <c r="E53" s="366">
        <f>SUM(F53:J53)</f>
        <v>21.7</v>
      </c>
      <c r="F53" s="366">
        <v>13.1</v>
      </c>
      <c r="G53" s="366">
        <v>8.6</v>
      </c>
      <c r="H53" s="366">
        <v>0</v>
      </c>
      <c r="I53" s="366">
        <v>0</v>
      </c>
      <c r="J53" s="366">
        <v>0</v>
      </c>
      <c r="K53" s="1315"/>
      <c r="L53" s="1305"/>
      <c r="M53" s="1305"/>
      <c r="N53" s="1305"/>
      <c r="O53" s="1305"/>
      <c r="P53" s="1305"/>
      <c r="Q53" s="760"/>
    </row>
    <row r="54" spans="1:17" ht="22.5" customHeight="1" thickBot="1">
      <c r="A54" s="365"/>
      <c r="B54" s="331" t="s">
        <v>318</v>
      </c>
      <c r="C54" s="355"/>
      <c r="D54" s="354" t="s">
        <v>317</v>
      </c>
      <c r="E54" s="353">
        <f>SUM(F54:J54)</f>
        <v>1755.7</v>
      </c>
      <c r="F54" s="353">
        <f>SUM(F51:F53)</f>
        <v>866.1</v>
      </c>
      <c r="G54" s="353">
        <f>SUM(G51:G53)</f>
        <v>889.6</v>
      </c>
      <c r="H54" s="353">
        <f>SUM(H51:H53)</f>
        <v>0</v>
      </c>
      <c r="I54" s="353">
        <f>SUM(I51:I53)</f>
        <v>0</v>
      </c>
      <c r="J54" s="352">
        <f>SUM(J51:J53)</f>
        <v>0</v>
      </c>
      <c r="K54" s="364"/>
      <c r="L54" s="350"/>
      <c r="M54" s="350"/>
      <c r="N54" s="350"/>
      <c r="O54" s="363"/>
      <c r="P54" s="363"/>
      <c r="Q54" s="362"/>
    </row>
    <row r="55" spans="1:17" ht="21.75" customHeight="1">
      <c r="A55" s="356"/>
      <c r="B55" s="1306" t="s">
        <v>316</v>
      </c>
      <c r="C55" s="1307"/>
      <c r="D55" s="1307"/>
      <c r="E55" s="1307"/>
      <c r="F55" s="1307"/>
      <c r="G55" s="1307"/>
      <c r="H55" s="1307"/>
      <c r="I55" s="1307"/>
      <c r="J55" s="1307"/>
      <c r="K55" s="1307"/>
      <c r="L55" s="1307"/>
      <c r="M55" s="1307"/>
      <c r="N55" s="1307"/>
      <c r="O55" s="1307"/>
      <c r="P55" s="1307"/>
      <c r="Q55" s="1308"/>
    </row>
    <row r="56" spans="1:17" ht="57.75" customHeight="1">
      <c r="A56" s="1273" t="s">
        <v>315</v>
      </c>
      <c r="B56" s="1062" t="s">
        <v>314</v>
      </c>
      <c r="C56" s="1273" t="s">
        <v>42</v>
      </c>
      <c r="D56" s="361" t="s">
        <v>309</v>
      </c>
      <c r="E56" s="360">
        <f>SUM(F56:J56)</f>
        <v>5235.03</v>
      </c>
      <c r="F56" s="360">
        <v>4447.23</v>
      </c>
      <c r="G56" s="360">
        <f>777.8+10</f>
        <v>787.8</v>
      </c>
      <c r="H56" s="360">
        <v>0</v>
      </c>
      <c r="I56" s="360">
        <v>0</v>
      </c>
      <c r="J56" s="360">
        <v>0</v>
      </c>
      <c r="K56" s="331" t="s">
        <v>313</v>
      </c>
      <c r="L56" s="359"/>
      <c r="M56" s="359"/>
      <c r="N56" s="359"/>
      <c r="O56" s="359"/>
      <c r="P56" s="359"/>
      <c r="Q56" s="1311" t="s">
        <v>312</v>
      </c>
    </row>
    <row r="57" spans="1:17" ht="39" customHeight="1" thickBot="1">
      <c r="A57" s="1309"/>
      <c r="B57" s="1310"/>
      <c r="C57" s="1309"/>
      <c r="D57" s="337" t="s">
        <v>5</v>
      </c>
      <c r="E57" s="358">
        <f>SUM(F57:J57)</f>
        <v>5235</v>
      </c>
      <c r="F57" s="358">
        <v>4447.2</v>
      </c>
      <c r="G57" s="358">
        <f>777.8+10</f>
        <v>787.8</v>
      </c>
      <c r="H57" s="358">
        <v>0</v>
      </c>
      <c r="I57" s="358">
        <v>0</v>
      </c>
      <c r="J57" s="358">
        <v>0</v>
      </c>
      <c r="K57" s="331" t="s">
        <v>311</v>
      </c>
      <c r="L57" s="357">
        <v>4</v>
      </c>
      <c r="M57" s="357">
        <v>4</v>
      </c>
      <c r="N57" s="357">
        <v>0</v>
      </c>
      <c r="O57" s="357">
        <v>0</v>
      </c>
      <c r="P57" s="357">
        <v>0</v>
      </c>
      <c r="Q57" s="1312"/>
    </row>
    <row r="58" spans="1:17" ht="21.75" customHeight="1" thickBot="1">
      <c r="A58" s="356"/>
      <c r="B58" s="331" t="s">
        <v>310</v>
      </c>
      <c r="C58" s="355"/>
      <c r="D58" s="354" t="s">
        <v>309</v>
      </c>
      <c r="E58" s="437">
        <f>SUM(F58:J58)</f>
        <v>5235.03</v>
      </c>
      <c r="F58" s="437">
        <f>F56</f>
        <v>4447.23</v>
      </c>
      <c r="G58" s="437">
        <f>G56</f>
        <v>787.8</v>
      </c>
      <c r="H58" s="437">
        <f>H56</f>
        <v>0</v>
      </c>
      <c r="I58" s="437">
        <f>I56</f>
        <v>0</v>
      </c>
      <c r="J58" s="438">
        <f>J56</f>
        <v>0</v>
      </c>
      <c r="K58" s="351"/>
      <c r="L58" s="350"/>
      <c r="M58" s="350"/>
      <c r="N58" s="350"/>
      <c r="O58" s="350"/>
      <c r="P58" s="350"/>
      <c r="Q58" s="349"/>
    </row>
    <row r="59" spans="1:17" ht="13.5" customHeight="1">
      <c r="A59" s="836"/>
      <c r="B59" s="1067" t="s">
        <v>13</v>
      </c>
      <c r="C59" s="1304"/>
      <c r="D59" s="348" t="s">
        <v>11</v>
      </c>
      <c r="E59" s="1216">
        <f>SUM(F59:J60)</f>
        <v>15298.93</v>
      </c>
      <c r="F59" s="1216">
        <f>SUM(F61:F62)</f>
        <v>8816.53</v>
      </c>
      <c r="G59" s="1216">
        <f>SUM(G61:G62)</f>
        <v>6482.400000000001</v>
      </c>
      <c r="H59" s="1263">
        <v>0</v>
      </c>
      <c r="I59" s="1263">
        <v>0</v>
      </c>
      <c r="J59" s="1263">
        <v>0</v>
      </c>
      <c r="K59" s="1147"/>
      <c r="L59" s="836"/>
      <c r="M59" s="836"/>
      <c r="N59" s="836"/>
      <c r="O59" s="836"/>
      <c r="P59" s="836"/>
      <c r="Q59" s="836"/>
    </row>
    <row r="60" spans="1:17" ht="10.5" customHeight="1">
      <c r="A60" s="836"/>
      <c r="B60" s="1067"/>
      <c r="C60" s="1304"/>
      <c r="D60" s="347" t="s">
        <v>12</v>
      </c>
      <c r="E60" s="1217"/>
      <c r="F60" s="1217"/>
      <c r="G60" s="1217"/>
      <c r="H60" s="1264"/>
      <c r="I60" s="1264"/>
      <c r="J60" s="1264"/>
      <c r="K60" s="1251"/>
      <c r="L60" s="836"/>
      <c r="M60" s="836"/>
      <c r="N60" s="836"/>
      <c r="O60" s="836"/>
      <c r="P60" s="836"/>
      <c r="Q60" s="836"/>
    </row>
    <row r="61" spans="1:17" ht="13.5" customHeight="1">
      <c r="A61" s="836"/>
      <c r="B61" s="1067"/>
      <c r="C61" s="1304"/>
      <c r="D61" s="347" t="s">
        <v>5</v>
      </c>
      <c r="E61" s="460">
        <f>SUM(F61:J61)</f>
        <v>13543.230000000001</v>
      </c>
      <c r="F61" s="460">
        <f>SUM(F58,F49,F45,F41,F37,F32,F27,F22,F17,F12)</f>
        <v>7950.430000000001</v>
      </c>
      <c r="G61" s="460">
        <f>SUM(G58,G49,G45,G41,G37,G32,G27,G22,G17,G12)</f>
        <v>5592.8</v>
      </c>
      <c r="H61" s="426">
        <v>0</v>
      </c>
      <c r="I61" s="496">
        <v>0</v>
      </c>
      <c r="J61" s="496">
        <v>0</v>
      </c>
      <c r="K61" s="1251"/>
      <c r="L61" s="836"/>
      <c r="M61" s="836"/>
      <c r="N61" s="836"/>
      <c r="O61" s="836"/>
      <c r="P61" s="836"/>
      <c r="Q61" s="836"/>
    </row>
    <row r="62" spans="1:17" ht="14.25" customHeight="1" thickBot="1">
      <c r="A62" s="836"/>
      <c r="B62" s="1067"/>
      <c r="C62" s="1304"/>
      <c r="D62" s="346" t="s">
        <v>6</v>
      </c>
      <c r="E62" s="427">
        <f>SUM(F62:J62)</f>
        <v>1755.7</v>
      </c>
      <c r="F62" s="427">
        <f>F54</f>
        <v>866.1</v>
      </c>
      <c r="G62" s="427">
        <f>G54</f>
        <v>889.6</v>
      </c>
      <c r="H62" s="427">
        <v>0</v>
      </c>
      <c r="I62" s="427">
        <v>0</v>
      </c>
      <c r="J62" s="427">
        <v>0</v>
      </c>
      <c r="K62" s="1145"/>
      <c r="L62" s="836"/>
      <c r="M62" s="836"/>
      <c r="N62" s="836"/>
      <c r="O62" s="836"/>
      <c r="P62" s="836"/>
      <c r="Q62" s="836"/>
    </row>
    <row r="65" spans="8:10" s="233" customFormat="1" ht="18.75" customHeight="1">
      <c r="H65" s="345"/>
      <c r="I65" s="345"/>
      <c r="J65" s="345"/>
    </row>
    <row r="67" spans="8:10" s="233" customFormat="1" ht="18.75" customHeight="1">
      <c r="H67" s="345"/>
      <c r="I67" s="345"/>
      <c r="J67" s="345"/>
    </row>
  </sheetData>
  <sheetProtection/>
  <mergeCells count="114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E20:E21"/>
    <mergeCell ref="F20:F21"/>
    <mergeCell ref="G20:G21"/>
    <mergeCell ref="H20:H21"/>
    <mergeCell ref="I20:I21"/>
    <mergeCell ref="J20:J21"/>
    <mergeCell ref="B23:Q23"/>
    <mergeCell ref="A24:A26"/>
    <mergeCell ref="B24:B26"/>
    <mergeCell ref="C24:C26"/>
    <mergeCell ref="Q24:Q26"/>
    <mergeCell ref="B28:Q28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38:Q38"/>
    <mergeCell ref="A39:A40"/>
    <mergeCell ref="B39:B40"/>
    <mergeCell ref="C39:C40"/>
    <mergeCell ref="Q39:Q40"/>
    <mergeCell ref="B42:Q42"/>
    <mergeCell ref="Q43:Q44"/>
    <mergeCell ref="B46:Q46"/>
    <mergeCell ref="A47:A48"/>
    <mergeCell ref="B47:B48"/>
    <mergeCell ref="C47:C48"/>
    <mergeCell ref="Q47:Q48"/>
    <mergeCell ref="G51:G52"/>
    <mergeCell ref="H51:H52"/>
    <mergeCell ref="I51:I52"/>
    <mergeCell ref="A43:A44"/>
    <mergeCell ref="B43:B44"/>
    <mergeCell ref="C43:C44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A59:A62"/>
    <mergeCell ref="B59:B62"/>
    <mergeCell ref="C59:C62"/>
    <mergeCell ref="E59:E60"/>
    <mergeCell ref="F59:F60"/>
    <mergeCell ref="G59:G60"/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840" t="s">
        <v>295</v>
      </c>
      <c r="M1" s="840"/>
      <c r="N1" s="840"/>
      <c r="O1" s="840"/>
      <c r="P1" s="840"/>
      <c r="Q1" s="840"/>
    </row>
    <row r="2" spans="1:17" ht="28.5" customHeight="1">
      <c r="A2" s="841" t="s">
        <v>157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842" t="s">
        <v>16</v>
      </c>
      <c r="B4" s="843" t="s">
        <v>15</v>
      </c>
      <c r="C4" s="842" t="s">
        <v>8</v>
      </c>
      <c r="D4" s="842" t="s">
        <v>9</v>
      </c>
      <c r="E4" s="847" t="s">
        <v>0</v>
      </c>
      <c r="F4" s="848"/>
      <c r="G4" s="848"/>
      <c r="H4" s="848"/>
      <c r="I4" s="848"/>
      <c r="J4" s="849"/>
      <c r="K4" s="847" t="s">
        <v>17</v>
      </c>
      <c r="L4" s="848"/>
      <c r="M4" s="848"/>
      <c r="N4" s="848"/>
      <c r="O4" s="848"/>
      <c r="P4" s="849"/>
      <c r="Q4" s="843" t="s">
        <v>14</v>
      </c>
    </row>
    <row r="5" spans="1:17" s="15" customFormat="1" ht="14.25" customHeight="1">
      <c r="A5" s="842"/>
      <c r="B5" s="844"/>
      <c r="C5" s="842"/>
      <c r="D5" s="842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44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853" t="s">
        <v>44</v>
      </c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</row>
    <row r="8" spans="1:17" ht="13.5" customHeight="1">
      <c r="A8" s="20">
        <v>1</v>
      </c>
      <c r="B8" s="854" t="s">
        <v>79</v>
      </c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</row>
    <row r="9" spans="1:17" ht="22.5" customHeight="1">
      <c r="A9" s="837" t="s">
        <v>19</v>
      </c>
      <c r="B9" s="883" t="s">
        <v>45</v>
      </c>
      <c r="C9" s="882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885" t="s">
        <v>248</v>
      </c>
      <c r="L9" s="887" t="s">
        <v>236</v>
      </c>
      <c r="M9" s="887" t="s">
        <v>236</v>
      </c>
      <c r="N9" s="887" t="s">
        <v>213</v>
      </c>
      <c r="O9" s="887" t="s">
        <v>213</v>
      </c>
      <c r="P9" s="887" t="s">
        <v>213</v>
      </c>
      <c r="Q9" s="887" t="s">
        <v>63</v>
      </c>
    </row>
    <row r="10" spans="1:17" ht="6.75" customHeight="1">
      <c r="A10" s="765"/>
      <c r="B10" s="884"/>
      <c r="C10" s="884"/>
      <c r="D10" s="889" t="s">
        <v>5</v>
      </c>
      <c r="E10" s="890">
        <f>SUM(F10:J13)</f>
        <v>11120.5</v>
      </c>
      <c r="F10" s="890">
        <f>16163-6362-120-300-620</f>
        <v>8761</v>
      </c>
      <c r="G10" s="890">
        <v>2359.5</v>
      </c>
      <c r="H10" s="890">
        <v>0</v>
      </c>
      <c r="I10" s="890">
        <v>0</v>
      </c>
      <c r="J10" s="890">
        <v>0</v>
      </c>
      <c r="K10" s="886"/>
      <c r="L10" s="886"/>
      <c r="M10" s="886"/>
      <c r="N10" s="886"/>
      <c r="O10" s="886"/>
      <c r="P10" s="886"/>
      <c r="Q10" s="888"/>
    </row>
    <row r="11" spans="1:17" ht="6.75" customHeight="1">
      <c r="A11" s="765"/>
      <c r="B11" s="884"/>
      <c r="C11" s="884"/>
      <c r="D11" s="889"/>
      <c r="E11" s="890"/>
      <c r="F11" s="890"/>
      <c r="G11" s="890"/>
      <c r="H11" s="890"/>
      <c r="I11" s="890"/>
      <c r="J11" s="890"/>
      <c r="K11" s="886"/>
      <c r="L11" s="886"/>
      <c r="M11" s="886"/>
      <c r="N11" s="886"/>
      <c r="O11" s="886"/>
      <c r="P11" s="886"/>
      <c r="Q11" s="888"/>
    </row>
    <row r="12" spans="1:17" ht="10.5" customHeight="1">
      <c r="A12" s="765"/>
      <c r="B12" s="884"/>
      <c r="C12" s="884"/>
      <c r="D12" s="889"/>
      <c r="E12" s="890"/>
      <c r="F12" s="890"/>
      <c r="G12" s="890"/>
      <c r="H12" s="890"/>
      <c r="I12" s="890"/>
      <c r="J12" s="890"/>
      <c r="K12" s="886"/>
      <c r="L12" s="886"/>
      <c r="M12" s="886"/>
      <c r="N12" s="886"/>
      <c r="O12" s="886"/>
      <c r="P12" s="886"/>
      <c r="Q12" s="888"/>
    </row>
    <row r="13" spans="1:17" ht="8.25" customHeight="1">
      <c r="A13" s="766"/>
      <c r="B13" s="971"/>
      <c r="C13" s="971"/>
      <c r="D13" s="889"/>
      <c r="E13" s="890"/>
      <c r="F13" s="890"/>
      <c r="G13" s="890"/>
      <c r="H13" s="890"/>
      <c r="I13" s="890"/>
      <c r="J13" s="890"/>
      <c r="K13" s="886"/>
      <c r="L13" s="886"/>
      <c r="M13" s="886"/>
      <c r="N13" s="886"/>
      <c r="O13" s="886"/>
      <c r="P13" s="886"/>
      <c r="Q13" s="888"/>
    </row>
    <row r="14" spans="1:17" ht="15" customHeight="1">
      <c r="A14" s="1073"/>
      <c r="B14" s="1333" t="s">
        <v>23</v>
      </c>
      <c r="C14" s="1331"/>
      <c r="D14" s="1334" t="s">
        <v>249</v>
      </c>
      <c r="E14" s="1336">
        <f>SUM(F14:J15)</f>
        <v>11120.5</v>
      </c>
      <c r="F14" s="1337">
        <f>SUM(F16:F17)</f>
        <v>8761</v>
      </c>
      <c r="G14" s="1337">
        <f>SUM(G16:G17)</f>
        <v>2359.5</v>
      </c>
      <c r="H14" s="1337">
        <f>SUM(H16:H17)</f>
        <v>0</v>
      </c>
      <c r="I14" s="1337">
        <f>SUM(I16:I17)</f>
        <v>0</v>
      </c>
      <c r="J14" s="1337">
        <f>SUM(J16:J17)</f>
        <v>0</v>
      </c>
      <c r="K14" s="1331"/>
      <c r="L14" s="1331"/>
      <c r="M14" s="1331"/>
      <c r="N14" s="1331"/>
      <c r="O14" s="1331"/>
      <c r="P14" s="1331"/>
      <c r="Q14" s="1331"/>
    </row>
    <row r="15" spans="1:17" ht="10.5" customHeight="1">
      <c r="A15" s="1073"/>
      <c r="B15" s="1086"/>
      <c r="C15" s="1331"/>
      <c r="D15" s="1335"/>
      <c r="E15" s="1337"/>
      <c r="F15" s="903"/>
      <c r="G15" s="903"/>
      <c r="H15" s="903"/>
      <c r="I15" s="903"/>
      <c r="J15" s="903"/>
      <c r="K15" s="1331"/>
      <c r="L15" s="1331"/>
      <c r="M15" s="1331"/>
      <c r="N15" s="1331"/>
      <c r="O15" s="1331"/>
      <c r="P15" s="1331"/>
      <c r="Q15" s="1331"/>
    </row>
    <row r="16" spans="1:17" ht="13.5" customHeight="1">
      <c r="A16" s="1073"/>
      <c r="B16" s="1086"/>
      <c r="C16" s="1331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331"/>
      <c r="L16" s="1331"/>
      <c r="M16" s="1331"/>
      <c r="N16" s="1331"/>
      <c r="O16" s="1331"/>
      <c r="P16" s="1331"/>
      <c r="Q16" s="1331"/>
    </row>
    <row r="17" spans="1:17" ht="13.5" customHeight="1">
      <c r="A17" s="766"/>
      <c r="B17" s="971"/>
      <c r="C17" s="1332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332"/>
      <c r="L17" s="1332"/>
      <c r="M17" s="1332"/>
      <c r="N17" s="1332"/>
      <c r="O17" s="1332"/>
      <c r="P17" s="1332"/>
      <c r="Q17" s="1332"/>
    </row>
    <row r="18" spans="1:17" ht="16.5" customHeight="1">
      <c r="A18" s="16" t="s">
        <v>24</v>
      </c>
      <c r="B18" s="904" t="s">
        <v>80</v>
      </c>
      <c r="C18" s="905"/>
      <c r="D18" s="90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6"/>
    </row>
    <row r="19" spans="1:17" ht="24" customHeight="1">
      <c r="A19" s="837" t="s">
        <v>26</v>
      </c>
      <c r="B19" s="883" t="s">
        <v>46</v>
      </c>
      <c r="C19" s="882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883" t="s">
        <v>250</v>
      </c>
      <c r="L19" s="887" t="s">
        <v>240</v>
      </c>
      <c r="M19" s="887" t="s">
        <v>240</v>
      </c>
      <c r="N19" s="887" t="s">
        <v>240</v>
      </c>
      <c r="O19" s="887" t="s">
        <v>240</v>
      </c>
      <c r="P19" s="887" t="s">
        <v>240</v>
      </c>
      <c r="Q19" s="837" t="s">
        <v>136</v>
      </c>
    </row>
    <row r="20" spans="1:17" ht="16.5" customHeight="1">
      <c r="A20" s="909"/>
      <c r="B20" s="911"/>
      <c r="C20" s="913"/>
      <c r="D20" s="919" t="s">
        <v>5</v>
      </c>
      <c r="E20" s="917">
        <f>SUM(F20:J21)</f>
        <v>1040</v>
      </c>
      <c r="F20" s="917">
        <v>240</v>
      </c>
      <c r="G20" s="917">
        <v>200</v>
      </c>
      <c r="H20" s="917">
        <v>200</v>
      </c>
      <c r="I20" s="917">
        <v>200</v>
      </c>
      <c r="J20" s="917">
        <v>200</v>
      </c>
      <c r="K20" s="911"/>
      <c r="L20" s="915"/>
      <c r="M20" s="915"/>
      <c r="N20" s="915"/>
      <c r="O20" s="915"/>
      <c r="P20" s="915"/>
      <c r="Q20" s="913"/>
    </row>
    <row r="21" spans="1:17" ht="6" customHeight="1">
      <c r="A21" s="909"/>
      <c r="B21" s="911"/>
      <c r="C21" s="913"/>
      <c r="D21" s="923"/>
      <c r="E21" s="918"/>
      <c r="F21" s="918"/>
      <c r="G21" s="918"/>
      <c r="H21" s="918"/>
      <c r="I21" s="918"/>
      <c r="J21" s="918"/>
      <c r="K21" s="911"/>
      <c r="L21" s="915"/>
      <c r="M21" s="915"/>
      <c r="N21" s="915"/>
      <c r="O21" s="915"/>
      <c r="P21" s="915"/>
      <c r="Q21" s="913"/>
    </row>
    <row r="22" spans="1:17" ht="16.5" customHeight="1">
      <c r="A22" s="909"/>
      <c r="B22" s="911"/>
      <c r="C22" s="913"/>
      <c r="D22" s="889" t="s">
        <v>6</v>
      </c>
      <c r="E22" s="917">
        <f>SUM(F22:J23)</f>
        <v>0</v>
      </c>
      <c r="F22" s="921">
        <v>0</v>
      </c>
      <c r="G22" s="921">
        <v>0</v>
      </c>
      <c r="H22" s="921">
        <v>0</v>
      </c>
      <c r="I22" s="921">
        <v>0</v>
      </c>
      <c r="J22" s="921">
        <v>0</v>
      </c>
      <c r="K22" s="911"/>
      <c r="L22" s="915"/>
      <c r="M22" s="915"/>
      <c r="N22" s="915"/>
      <c r="O22" s="915"/>
      <c r="P22" s="915"/>
      <c r="Q22" s="913"/>
    </row>
    <row r="23" spans="1:17" ht="8.25" customHeight="1" thickBot="1">
      <c r="A23" s="910"/>
      <c r="B23" s="912"/>
      <c r="C23" s="914"/>
      <c r="D23" s="889"/>
      <c r="E23" s="918"/>
      <c r="F23" s="921"/>
      <c r="G23" s="921"/>
      <c r="H23" s="921"/>
      <c r="I23" s="921"/>
      <c r="J23" s="921"/>
      <c r="K23" s="912"/>
      <c r="L23" s="916"/>
      <c r="M23" s="916"/>
      <c r="N23" s="916"/>
      <c r="O23" s="916"/>
      <c r="P23" s="916"/>
      <c r="Q23" s="914"/>
    </row>
    <row r="24" spans="1:17" ht="12.75" customHeight="1">
      <c r="A24" s="926"/>
      <c r="B24" s="854" t="s">
        <v>43</v>
      </c>
      <c r="C24" s="927"/>
      <c r="D24" s="1338" t="s">
        <v>249</v>
      </c>
      <c r="E24" s="1340">
        <f>SUM(F24:J25)</f>
        <v>1040</v>
      </c>
      <c r="F24" s="1340">
        <f>SUM(F20)</f>
        <v>240</v>
      </c>
      <c r="G24" s="1340">
        <f>SUM(G20)</f>
        <v>200</v>
      </c>
      <c r="H24" s="1341">
        <f>SUM(H20)</f>
        <v>200</v>
      </c>
      <c r="I24" s="1341">
        <f>SUM(I20)</f>
        <v>200</v>
      </c>
      <c r="J24" s="1341">
        <f>SUM(J20)</f>
        <v>200</v>
      </c>
      <c r="K24" s="891"/>
      <c r="L24" s="889"/>
      <c r="M24" s="889"/>
      <c r="N24" s="889"/>
      <c r="O24" s="889"/>
      <c r="P24" s="889"/>
      <c r="Q24" s="926"/>
    </row>
    <row r="25" spans="1:17" ht="9.75" customHeight="1">
      <c r="A25" s="926"/>
      <c r="B25" s="854"/>
      <c r="C25" s="927"/>
      <c r="D25" s="1339"/>
      <c r="E25" s="1337"/>
      <c r="F25" s="1337"/>
      <c r="G25" s="1337"/>
      <c r="H25" s="1342"/>
      <c r="I25" s="1342"/>
      <c r="J25" s="1342"/>
      <c r="K25" s="891"/>
      <c r="L25" s="889"/>
      <c r="M25" s="889"/>
      <c r="N25" s="889"/>
      <c r="O25" s="889"/>
      <c r="P25" s="889"/>
      <c r="Q25" s="926"/>
    </row>
    <row r="26" spans="1:17" ht="12" customHeight="1">
      <c r="A26" s="926"/>
      <c r="B26" s="854"/>
      <c r="C26" s="927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891"/>
      <c r="L26" s="889"/>
      <c r="M26" s="889"/>
      <c r="N26" s="889"/>
      <c r="O26" s="889"/>
      <c r="P26" s="889"/>
      <c r="Q26" s="926"/>
    </row>
    <row r="27" spans="1:17" ht="11.25" customHeight="1" thickBot="1">
      <c r="A27" s="926"/>
      <c r="B27" s="854"/>
      <c r="C27" s="927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891"/>
      <c r="L27" s="889"/>
      <c r="M27" s="889"/>
      <c r="N27" s="889"/>
      <c r="O27" s="889"/>
      <c r="P27" s="889"/>
      <c r="Q27" s="926"/>
    </row>
    <row r="28" spans="1:17" ht="11.25" customHeight="1">
      <c r="A28" s="8" t="s">
        <v>28</v>
      </c>
      <c r="B28" s="904" t="s">
        <v>81</v>
      </c>
      <c r="C28" s="905"/>
      <c r="D28" s="905"/>
      <c r="E28" s="905"/>
      <c r="F28" s="905"/>
      <c r="G28" s="905"/>
      <c r="H28" s="905"/>
      <c r="I28" s="905"/>
      <c r="J28" s="905"/>
      <c r="K28" s="905"/>
      <c r="L28" s="905"/>
      <c r="M28" s="905"/>
      <c r="N28" s="905"/>
      <c r="O28" s="905"/>
      <c r="P28" s="905"/>
      <c r="Q28" s="906"/>
    </row>
    <row r="29" spans="1:17" ht="24" customHeight="1">
      <c r="A29" s="837" t="s">
        <v>30</v>
      </c>
      <c r="B29" s="929" t="s">
        <v>47</v>
      </c>
      <c r="C29" s="926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883" t="s">
        <v>256</v>
      </c>
      <c r="L29" s="887" t="s">
        <v>236</v>
      </c>
      <c r="M29" s="887" t="s">
        <v>236</v>
      </c>
      <c r="N29" s="887" t="s">
        <v>236</v>
      </c>
      <c r="O29" s="887" t="s">
        <v>236</v>
      </c>
      <c r="P29" s="887" t="s">
        <v>236</v>
      </c>
      <c r="Q29" s="837" t="s">
        <v>136</v>
      </c>
    </row>
    <row r="30" spans="1:17" ht="16.5" customHeight="1">
      <c r="A30" s="909"/>
      <c r="B30" s="930"/>
      <c r="C30" s="931"/>
      <c r="D30" s="919" t="s">
        <v>5</v>
      </c>
      <c r="E30" s="917">
        <f>SUM(F30:J33)</f>
        <v>210</v>
      </c>
      <c r="F30" s="917">
        <v>70</v>
      </c>
      <c r="G30" s="917">
        <v>35</v>
      </c>
      <c r="H30" s="917">
        <v>35</v>
      </c>
      <c r="I30" s="917">
        <v>35</v>
      </c>
      <c r="J30" s="917">
        <v>35</v>
      </c>
      <c r="K30" s="913"/>
      <c r="L30" s="932"/>
      <c r="M30" s="932"/>
      <c r="N30" s="932"/>
      <c r="O30" s="932"/>
      <c r="P30" s="932"/>
      <c r="Q30" s="909"/>
    </row>
    <row r="31" spans="1:17" ht="1.5" customHeight="1">
      <c r="A31" s="909"/>
      <c r="B31" s="930"/>
      <c r="C31" s="931"/>
      <c r="D31" s="937"/>
      <c r="E31" s="920"/>
      <c r="F31" s="920"/>
      <c r="G31" s="920"/>
      <c r="H31" s="920"/>
      <c r="I31" s="920"/>
      <c r="J31" s="920"/>
      <c r="K31" s="914"/>
      <c r="L31" s="933"/>
      <c r="M31" s="933"/>
      <c r="N31" s="933"/>
      <c r="O31" s="933"/>
      <c r="P31" s="933"/>
      <c r="Q31" s="909"/>
    </row>
    <row r="32" spans="1:17" ht="16.5" customHeight="1">
      <c r="A32" s="909"/>
      <c r="B32" s="930"/>
      <c r="C32" s="931"/>
      <c r="D32" s="937"/>
      <c r="E32" s="920"/>
      <c r="F32" s="920"/>
      <c r="G32" s="920"/>
      <c r="H32" s="920"/>
      <c r="I32" s="920"/>
      <c r="J32" s="920"/>
      <c r="K32" s="934" t="s">
        <v>257</v>
      </c>
      <c r="L32" s="935" t="s">
        <v>236</v>
      </c>
      <c r="M32" s="935" t="s">
        <v>236</v>
      </c>
      <c r="N32" s="935" t="s">
        <v>236</v>
      </c>
      <c r="O32" s="935" t="s">
        <v>236</v>
      </c>
      <c r="P32" s="935" t="s">
        <v>236</v>
      </c>
      <c r="Q32" s="909"/>
    </row>
    <row r="33" spans="1:17" ht="16.5" customHeight="1" thickBot="1">
      <c r="A33" s="910"/>
      <c r="B33" s="930"/>
      <c r="C33" s="931"/>
      <c r="D33" s="1344"/>
      <c r="E33" s="1343"/>
      <c r="F33" s="1343"/>
      <c r="G33" s="1343"/>
      <c r="H33" s="1343"/>
      <c r="I33" s="1343"/>
      <c r="J33" s="1343"/>
      <c r="K33" s="934"/>
      <c r="L33" s="936"/>
      <c r="M33" s="936"/>
      <c r="N33" s="936"/>
      <c r="O33" s="936"/>
      <c r="P33" s="936"/>
      <c r="Q33" s="910"/>
    </row>
    <row r="34" spans="1:17" ht="10.5" customHeight="1">
      <c r="A34" s="926"/>
      <c r="B34" s="854" t="s">
        <v>33</v>
      </c>
      <c r="C34" s="927"/>
      <c r="D34" s="1338" t="s">
        <v>249</v>
      </c>
      <c r="E34" s="1340">
        <f>SUM(F34:J35)</f>
        <v>210</v>
      </c>
      <c r="F34" s="1340">
        <f>SUM(F36:F37)</f>
        <v>70</v>
      </c>
      <c r="G34" s="1340">
        <f>SUM(G36:G37)</f>
        <v>35</v>
      </c>
      <c r="H34" s="1341">
        <f>SUM(H36:H37)</f>
        <v>35</v>
      </c>
      <c r="I34" s="1341">
        <f>SUM(I36:I37)</f>
        <v>35</v>
      </c>
      <c r="J34" s="1341">
        <f>SUM(J36:J37)</f>
        <v>35</v>
      </c>
      <c r="K34" s="891"/>
      <c r="L34" s="889"/>
      <c r="M34" s="889"/>
      <c r="N34" s="889"/>
      <c r="O34" s="889"/>
      <c r="P34" s="889"/>
      <c r="Q34" s="926"/>
    </row>
    <row r="35" spans="1:17" ht="10.5" customHeight="1">
      <c r="A35" s="926"/>
      <c r="B35" s="854"/>
      <c r="C35" s="927"/>
      <c r="D35" s="1339"/>
      <c r="E35" s="1337"/>
      <c r="F35" s="1337"/>
      <c r="G35" s="1337"/>
      <c r="H35" s="1342"/>
      <c r="I35" s="1342"/>
      <c r="J35" s="1342"/>
      <c r="K35" s="891"/>
      <c r="L35" s="889"/>
      <c r="M35" s="889"/>
      <c r="N35" s="889"/>
      <c r="O35" s="889"/>
      <c r="P35" s="889"/>
      <c r="Q35" s="926"/>
    </row>
    <row r="36" spans="1:17" ht="10.5" customHeight="1">
      <c r="A36" s="926"/>
      <c r="B36" s="854"/>
      <c r="C36" s="927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891"/>
      <c r="L36" s="889"/>
      <c r="M36" s="889"/>
      <c r="N36" s="889"/>
      <c r="O36" s="889"/>
      <c r="P36" s="889"/>
      <c r="Q36" s="926"/>
    </row>
    <row r="37" spans="1:17" ht="10.5" customHeight="1" thickBot="1">
      <c r="A37" s="926"/>
      <c r="B37" s="854"/>
      <c r="C37" s="927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891"/>
      <c r="L37" s="889"/>
      <c r="M37" s="889"/>
      <c r="N37" s="889"/>
      <c r="O37" s="889"/>
      <c r="P37" s="889"/>
      <c r="Q37" s="926"/>
    </row>
    <row r="38" spans="1:17" ht="15.75" customHeight="1" thickBot="1">
      <c r="A38" s="8" t="s">
        <v>34</v>
      </c>
      <c r="B38" s="938" t="s">
        <v>147</v>
      </c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40"/>
    </row>
    <row r="39" spans="1:17" ht="23.25" customHeight="1">
      <c r="A39" s="837" t="s">
        <v>36</v>
      </c>
      <c r="B39" s="929" t="s">
        <v>83</v>
      </c>
      <c r="C39" s="926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885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909"/>
      <c r="B40" s="930"/>
      <c r="C40" s="931"/>
      <c r="D40" s="943" t="s">
        <v>212</v>
      </c>
      <c r="E40" s="917">
        <f>SUM(F40:J41)</f>
        <v>546.5</v>
      </c>
      <c r="F40" s="917">
        <f>SUM(F48,F45,F51)</f>
        <v>356.5</v>
      </c>
      <c r="G40" s="917">
        <f>SUM(G48,G45,G51)</f>
        <v>100</v>
      </c>
      <c r="H40" s="917">
        <f>SUM(H48,H45,H51)</f>
        <v>30</v>
      </c>
      <c r="I40" s="917">
        <f>SUM(I48,I45,I51)</f>
        <v>30</v>
      </c>
      <c r="J40" s="917">
        <f>SUM(J48,J45,J51)</f>
        <v>30</v>
      </c>
      <c r="K40" s="941"/>
      <c r="L40" s="945">
        <v>100</v>
      </c>
      <c r="M40" s="945">
        <v>100</v>
      </c>
      <c r="N40" s="945">
        <v>100</v>
      </c>
      <c r="O40" s="945">
        <v>100</v>
      </c>
      <c r="P40" s="945">
        <v>100</v>
      </c>
      <c r="Q40" s="947" t="s">
        <v>132</v>
      </c>
    </row>
    <row r="41" spans="1:17" ht="6" customHeight="1">
      <c r="A41" s="909"/>
      <c r="B41" s="930"/>
      <c r="C41" s="931"/>
      <c r="D41" s="944"/>
      <c r="E41" s="918"/>
      <c r="F41" s="918"/>
      <c r="G41" s="918"/>
      <c r="H41" s="918"/>
      <c r="I41" s="918"/>
      <c r="J41" s="918"/>
      <c r="K41" s="941"/>
      <c r="L41" s="946"/>
      <c r="M41" s="946"/>
      <c r="N41" s="946"/>
      <c r="O41" s="946"/>
      <c r="P41" s="946"/>
      <c r="Q41" s="948"/>
    </row>
    <row r="42" spans="1:17" ht="11.25" customHeight="1">
      <c r="A42" s="909"/>
      <c r="B42" s="930"/>
      <c r="C42" s="931"/>
      <c r="D42" s="944"/>
      <c r="E42" s="917">
        <f>SUM(F42:J43)</f>
        <v>755.4</v>
      </c>
      <c r="F42" s="921">
        <f>SUM(F49,F46,F52)</f>
        <v>465.4</v>
      </c>
      <c r="G42" s="922">
        <f>SUM(G49,G46,G52)</f>
        <v>200</v>
      </c>
      <c r="H42" s="922">
        <f>SUM(H49,H46,H52)</f>
        <v>30</v>
      </c>
      <c r="I42" s="922">
        <f>SUM(I49,I46,I52)</f>
        <v>30</v>
      </c>
      <c r="J42" s="922">
        <f>SUM(J49,J46,J52)</f>
        <v>30</v>
      </c>
      <c r="K42" s="941"/>
      <c r="L42" s="945">
        <v>100</v>
      </c>
      <c r="M42" s="945">
        <v>100</v>
      </c>
      <c r="N42" s="945">
        <v>100</v>
      </c>
      <c r="O42" s="945">
        <v>100</v>
      </c>
      <c r="P42" s="945">
        <v>100</v>
      </c>
      <c r="Q42" s="950" t="s">
        <v>131</v>
      </c>
    </row>
    <row r="43" spans="1:17" ht="6" customHeight="1" thickBot="1">
      <c r="A43" s="910"/>
      <c r="B43" s="930"/>
      <c r="C43" s="931"/>
      <c r="D43" s="1345"/>
      <c r="E43" s="920"/>
      <c r="F43" s="922"/>
      <c r="G43" s="949"/>
      <c r="H43" s="949"/>
      <c r="I43" s="949"/>
      <c r="J43" s="949"/>
      <c r="K43" s="942"/>
      <c r="L43" s="946"/>
      <c r="M43" s="946"/>
      <c r="N43" s="946"/>
      <c r="O43" s="946"/>
      <c r="P43" s="946"/>
      <c r="Q43" s="950"/>
    </row>
    <row r="44" spans="1:17" ht="20.25" customHeight="1">
      <c r="A44" s="837" t="s">
        <v>82</v>
      </c>
      <c r="B44" s="883" t="s">
        <v>84</v>
      </c>
      <c r="C44" s="951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953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909"/>
      <c r="B45" s="911"/>
      <c r="C45" s="886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954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910"/>
      <c r="B46" s="912"/>
      <c r="C46" s="952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955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837" t="s">
        <v>85</v>
      </c>
      <c r="B47" s="883" t="s">
        <v>86</v>
      </c>
      <c r="C47" s="951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953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909"/>
      <c r="B48" s="911"/>
      <c r="C48" s="886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954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910"/>
      <c r="B49" s="912"/>
      <c r="C49" s="952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955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837" t="s">
        <v>138</v>
      </c>
      <c r="B50" s="883" t="s">
        <v>139</v>
      </c>
      <c r="C50" s="951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953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909"/>
      <c r="B51" s="911"/>
      <c r="C51" s="886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954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910"/>
      <c r="B52" s="912"/>
      <c r="C52" s="952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955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837" t="s">
        <v>64</v>
      </c>
      <c r="B53" s="883" t="s">
        <v>89</v>
      </c>
      <c r="C53" s="951" t="s">
        <v>161</v>
      </c>
      <c r="D53" s="957" t="s">
        <v>259</v>
      </c>
      <c r="E53" s="959">
        <f>SUM(F53:J56)</f>
        <v>1520.9</v>
      </c>
      <c r="F53" s="959">
        <f>SUM(F59,F61,F64)</f>
        <v>260.8</v>
      </c>
      <c r="G53" s="959">
        <f>SUM(G56:G57)</f>
        <v>419.3</v>
      </c>
      <c r="H53" s="959">
        <f>SUM(H56:H57)</f>
        <v>80</v>
      </c>
      <c r="I53" s="959">
        <f>SUM(I56:I57)</f>
        <v>80</v>
      </c>
      <c r="J53" s="959">
        <f>SUM(J56:J57)</f>
        <v>80</v>
      </c>
      <c r="K53" s="885"/>
      <c r="L53" s="935"/>
      <c r="M53" s="935"/>
      <c r="N53" s="935"/>
      <c r="O53" s="935"/>
      <c r="P53" s="935"/>
      <c r="Q53" s="950"/>
    </row>
    <row r="54" spans="1:17" ht="6.75" customHeight="1">
      <c r="A54" s="838"/>
      <c r="B54" s="956"/>
      <c r="C54" s="765"/>
      <c r="D54" s="958"/>
      <c r="E54" s="960"/>
      <c r="F54" s="960"/>
      <c r="G54" s="960"/>
      <c r="H54" s="960"/>
      <c r="I54" s="960"/>
      <c r="J54" s="960"/>
      <c r="K54" s="941"/>
      <c r="L54" s="936"/>
      <c r="M54" s="936"/>
      <c r="N54" s="936"/>
      <c r="O54" s="936"/>
      <c r="P54" s="936"/>
      <c r="Q54" s="962"/>
    </row>
    <row r="55" spans="1:17" ht="6.75" customHeight="1">
      <c r="A55" s="838"/>
      <c r="B55" s="956"/>
      <c r="C55" s="765"/>
      <c r="D55" s="958"/>
      <c r="E55" s="961"/>
      <c r="F55" s="961"/>
      <c r="G55" s="961"/>
      <c r="H55" s="961"/>
      <c r="I55" s="961"/>
      <c r="J55" s="961"/>
      <c r="K55" s="941"/>
      <c r="L55" s="936"/>
      <c r="M55" s="936"/>
      <c r="N55" s="936"/>
      <c r="O55" s="936"/>
      <c r="P55" s="936"/>
      <c r="Q55" s="962"/>
    </row>
    <row r="56" spans="1:17" ht="17.25" customHeight="1">
      <c r="A56" s="838"/>
      <c r="B56" s="956"/>
      <c r="C56" s="765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941"/>
      <c r="L56" s="936"/>
      <c r="M56" s="936"/>
      <c r="N56" s="936"/>
      <c r="O56" s="936"/>
      <c r="P56" s="936"/>
      <c r="Q56" s="962"/>
    </row>
    <row r="57" spans="1:17" ht="17.25" customHeight="1">
      <c r="A57" s="777"/>
      <c r="B57" s="774"/>
      <c r="C57" s="766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942"/>
      <c r="L57" s="936"/>
      <c r="M57" s="936"/>
      <c r="N57" s="936"/>
      <c r="O57" s="936"/>
      <c r="P57" s="936"/>
      <c r="Q57" s="962"/>
    </row>
    <row r="58" spans="1:17" ht="24.75" customHeight="1">
      <c r="A58" s="837" t="s">
        <v>87</v>
      </c>
      <c r="B58" s="883" t="s">
        <v>84</v>
      </c>
      <c r="C58" s="951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893" t="s">
        <v>261</v>
      </c>
      <c r="L58" s="935" t="s">
        <v>236</v>
      </c>
      <c r="M58" s="935" t="s">
        <v>213</v>
      </c>
      <c r="N58" s="935" t="s">
        <v>213</v>
      </c>
      <c r="O58" s="935" t="s">
        <v>213</v>
      </c>
      <c r="P58" s="935" t="s">
        <v>213</v>
      </c>
      <c r="Q58" s="963" t="s">
        <v>51</v>
      </c>
    </row>
    <row r="59" spans="1:17" ht="11.25" customHeight="1">
      <c r="A59" s="776"/>
      <c r="B59" s="773"/>
      <c r="C59" s="765"/>
      <c r="D59" s="919" t="s">
        <v>5</v>
      </c>
      <c r="E59" s="920">
        <f>SUM(F59:J60)</f>
        <v>104.4</v>
      </c>
      <c r="F59" s="964">
        <v>104.4</v>
      </c>
      <c r="G59" s="966">
        <v>0</v>
      </c>
      <c r="H59" s="966">
        <v>0</v>
      </c>
      <c r="I59" s="966">
        <v>0</v>
      </c>
      <c r="J59" s="966">
        <v>0</v>
      </c>
      <c r="K59" s="893"/>
      <c r="L59" s="936"/>
      <c r="M59" s="936"/>
      <c r="N59" s="936"/>
      <c r="O59" s="936"/>
      <c r="P59" s="936"/>
      <c r="Q59" s="763"/>
    </row>
    <row r="60" spans="1:17" ht="12.75" customHeight="1" thickBot="1">
      <c r="A60" s="777"/>
      <c r="B60" s="774"/>
      <c r="C60" s="766"/>
      <c r="D60" s="923"/>
      <c r="E60" s="918"/>
      <c r="F60" s="965"/>
      <c r="G60" s="949"/>
      <c r="H60" s="949"/>
      <c r="I60" s="949"/>
      <c r="J60" s="949"/>
      <c r="K60" s="893"/>
      <c r="L60" s="936"/>
      <c r="M60" s="936"/>
      <c r="N60" s="936"/>
      <c r="O60" s="936"/>
      <c r="P60" s="936"/>
      <c r="Q60" s="763"/>
    </row>
    <row r="61" spans="1:17" ht="22.5" customHeight="1">
      <c r="A61" s="837" t="s">
        <v>88</v>
      </c>
      <c r="B61" s="883" t="s">
        <v>86</v>
      </c>
      <c r="C61" s="951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893" t="s">
        <v>261</v>
      </c>
      <c r="L61" s="935" t="s">
        <v>236</v>
      </c>
      <c r="M61" s="935" t="s">
        <v>213</v>
      </c>
      <c r="N61" s="935" t="s">
        <v>236</v>
      </c>
      <c r="O61" s="935" t="s">
        <v>236</v>
      </c>
      <c r="P61" s="935" t="s">
        <v>236</v>
      </c>
      <c r="Q61" s="963" t="s">
        <v>51</v>
      </c>
    </row>
    <row r="62" spans="1:17" ht="12" customHeight="1">
      <c r="A62" s="776"/>
      <c r="B62" s="773"/>
      <c r="C62" s="765"/>
      <c r="D62" s="919" t="s">
        <v>5</v>
      </c>
      <c r="E62" s="917">
        <f>SUM(F62:J63)</f>
        <v>332.8</v>
      </c>
      <c r="F62" s="967">
        <v>92.8</v>
      </c>
      <c r="G62" s="922">
        <f>80-80</f>
        <v>0</v>
      </c>
      <c r="H62" s="922">
        <v>80</v>
      </c>
      <c r="I62" s="922">
        <v>80</v>
      </c>
      <c r="J62" s="922">
        <v>80</v>
      </c>
      <c r="K62" s="893"/>
      <c r="L62" s="936"/>
      <c r="M62" s="936"/>
      <c r="N62" s="936"/>
      <c r="O62" s="936"/>
      <c r="P62" s="936"/>
      <c r="Q62" s="763"/>
    </row>
    <row r="63" spans="1:17" ht="12.75" customHeight="1" thickBot="1">
      <c r="A63" s="777"/>
      <c r="B63" s="774"/>
      <c r="C63" s="766"/>
      <c r="D63" s="923"/>
      <c r="E63" s="918"/>
      <c r="F63" s="965"/>
      <c r="G63" s="949"/>
      <c r="H63" s="949"/>
      <c r="I63" s="949"/>
      <c r="J63" s="949"/>
      <c r="K63" s="893"/>
      <c r="L63" s="936"/>
      <c r="M63" s="936"/>
      <c r="N63" s="936"/>
      <c r="O63" s="936"/>
      <c r="P63" s="936"/>
      <c r="Q63" s="763"/>
    </row>
    <row r="64" spans="1:17" ht="21" customHeight="1">
      <c r="A64" s="837" t="s">
        <v>140</v>
      </c>
      <c r="B64" s="883" t="s">
        <v>139</v>
      </c>
      <c r="C64" s="951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885" t="s">
        <v>261</v>
      </c>
      <c r="L64" s="887" t="s">
        <v>236</v>
      </c>
      <c r="M64" s="887" t="s">
        <v>236</v>
      </c>
      <c r="N64" s="887" t="s">
        <v>213</v>
      </c>
      <c r="O64" s="887" t="s">
        <v>213</v>
      </c>
      <c r="P64" s="887" t="s">
        <v>213</v>
      </c>
      <c r="Q64" s="837" t="s">
        <v>51</v>
      </c>
    </row>
    <row r="65" spans="1:17" ht="13.5" customHeight="1">
      <c r="A65" s="968"/>
      <c r="B65" s="968"/>
      <c r="C65" s="968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968"/>
      <c r="L65" s="968"/>
      <c r="M65" s="969"/>
      <c r="N65" s="968"/>
      <c r="O65" s="969"/>
      <c r="P65" s="969"/>
      <c r="Q65" s="968"/>
    </row>
    <row r="66" spans="1:17" ht="67.5" customHeight="1">
      <c r="A66" s="176" t="s">
        <v>292</v>
      </c>
      <c r="B66" s="140" t="s">
        <v>289</v>
      </c>
      <c r="C66" s="970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72" t="s">
        <v>291</v>
      </c>
      <c r="L66" s="919">
        <v>0</v>
      </c>
      <c r="M66" s="919">
        <v>100</v>
      </c>
      <c r="N66" s="919">
        <v>0</v>
      </c>
      <c r="O66" s="919">
        <v>0</v>
      </c>
      <c r="P66" s="919">
        <v>0</v>
      </c>
      <c r="Q66" s="919" t="s">
        <v>51</v>
      </c>
    </row>
    <row r="67" spans="1:17" ht="157.5" customHeight="1">
      <c r="A67" s="176" t="s">
        <v>293</v>
      </c>
      <c r="B67" s="170" t="s">
        <v>290</v>
      </c>
      <c r="C67" s="884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73"/>
      <c r="L67" s="888"/>
      <c r="M67" s="888"/>
      <c r="N67" s="888"/>
      <c r="O67" s="888"/>
      <c r="P67" s="888"/>
      <c r="Q67" s="888"/>
    </row>
    <row r="68" spans="1:17" ht="24" customHeight="1">
      <c r="A68" s="148" t="s">
        <v>294</v>
      </c>
      <c r="B68" s="170" t="s">
        <v>204</v>
      </c>
      <c r="C68" s="971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74"/>
      <c r="L68" s="975"/>
      <c r="M68" s="975"/>
      <c r="N68" s="975"/>
      <c r="O68" s="975"/>
      <c r="P68" s="975"/>
      <c r="Q68" s="975"/>
    </row>
    <row r="69" spans="1:17" ht="6.75" customHeight="1">
      <c r="A69" s="837" t="s">
        <v>90</v>
      </c>
      <c r="B69" s="883" t="s">
        <v>92</v>
      </c>
      <c r="C69" s="951" t="s">
        <v>161</v>
      </c>
      <c r="D69" s="976" t="s">
        <v>224</v>
      </c>
      <c r="E69" s="979">
        <f>SUM(F69:J72)</f>
        <v>880.8</v>
      </c>
      <c r="F69" s="979">
        <f>SUM(F76,F79,F80)</f>
        <v>800.8</v>
      </c>
      <c r="G69" s="979">
        <f>SUM(G76,G79)</f>
        <v>20</v>
      </c>
      <c r="H69" s="979">
        <f>SUM(H76,H79)</f>
        <v>20</v>
      </c>
      <c r="I69" s="979">
        <f>SUM(I76,I79)</f>
        <v>20</v>
      </c>
      <c r="J69" s="979">
        <f>SUM(J76,J79)</f>
        <v>20</v>
      </c>
      <c r="K69" s="934"/>
      <c r="L69" s="935"/>
      <c r="M69" s="935"/>
      <c r="N69" s="935"/>
      <c r="O69" s="935"/>
      <c r="P69" s="935"/>
      <c r="Q69" s="950"/>
    </row>
    <row r="70" spans="1:17" ht="6.75" customHeight="1">
      <c r="A70" s="838"/>
      <c r="B70" s="956"/>
      <c r="C70" s="765"/>
      <c r="D70" s="977"/>
      <c r="E70" s="980"/>
      <c r="F70" s="980"/>
      <c r="G70" s="980"/>
      <c r="H70" s="980"/>
      <c r="I70" s="980"/>
      <c r="J70" s="980"/>
      <c r="K70" s="893"/>
      <c r="L70" s="936"/>
      <c r="M70" s="936"/>
      <c r="N70" s="936"/>
      <c r="O70" s="936"/>
      <c r="P70" s="936"/>
      <c r="Q70" s="962"/>
    </row>
    <row r="71" spans="1:17" ht="10.5" customHeight="1">
      <c r="A71" s="838"/>
      <c r="B71" s="956"/>
      <c r="C71" s="765"/>
      <c r="D71" s="977"/>
      <c r="E71" s="980"/>
      <c r="F71" s="980"/>
      <c r="G71" s="980"/>
      <c r="H71" s="980"/>
      <c r="I71" s="980"/>
      <c r="J71" s="980"/>
      <c r="K71" s="893"/>
      <c r="L71" s="936"/>
      <c r="M71" s="936"/>
      <c r="N71" s="936"/>
      <c r="O71" s="936"/>
      <c r="P71" s="936"/>
      <c r="Q71" s="962"/>
    </row>
    <row r="72" spans="1:17" ht="10.5" customHeight="1">
      <c r="A72" s="838"/>
      <c r="B72" s="956"/>
      <c r="C72" s="765"/>
      <c r="D72" s="978"/>
      <c r="E72" s="981"/>
      <c r="F72" s="981"/>
      <c r="G72" s="981"/>
      <c r="H72" s="981"/>
      <c r="I72" s="981"/>
      <c r="J72" s="981"/>
      <c r="K72" s="893"/>
      <c r="L72" s="936"/>
      <c r="M72" s="936"/>
      <c r="N72" s="936"/>
      <c r="O72" s="936"/>
      <c r="P72" s="936"/>
      <c r="Q72" s="962"/>
    </row>
    <row r="73" spans="1:17" ht="10.5" customHeight="1">
      <c r="A73" s="776"/>
      <c r="B73" s="773"/>
      <c r="C73" s="765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893"/>
      <c r="L73" s="936"/>
      <c r="M73" s="936"/>
      <c r="N73" s="936"/>
      <c r="O73" s="936"/>
      <c r="P73" s="936"/>
      <c r="Q73" s="962"/>
    </row>
    <row r="74" spans="1:17" ht="10.5" customHeight="1">
      <c r="A74" s="777"/>
      <c r="B74" s="774"/>
      <c r="C74" s="766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893"/>
      <c r="L74" s="936"/>
      <c r="M74" s="936"/>
      <c r="N74" s="936"/>
      <c r="O74" s="936"/>
      <c r="P74" s="936"/>
      <c r="Q74" s="962"/>
    </row>
    <row r="75" spans="1:17" ht="24" customHeight="1">
      <c r="A75" s="837" t="s">
        <v>91</v>
      </c>
      <c r="B75" s="883" t="s">
        <v>86</v>
      </c>
      <c r="C75" s="951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934" t="s">
        <v>261</v>
      </c>
      <c r="L75" s="935" t="s">
        <v>236</v>
      </c>
      <c r="M75" s="935" t="s">
        <v>236</v>
      </c>
      <c r="N75" s="935" t="s">
        <v>236</v>
      </c>
      <c r="O75" s="935" t="s">
        <v>236</v>
      </c>
      <c r="P75" s="935" t="s">
        <v>236</v>
      </c>
      <c r="Q75" s="837" t="s">
        <v>142</v>
      </c>
    </row>
    <row r="76" spans="1:17" ht="13.5" customHeight="1">
      <c r="A76" s="776"/>
      <c r="B76" s="773"/>
      <c r="C76" s="982"/>
      <c r="D76" s="919" t="s">
        <v>5</v>
      </c>
      <c r="E76" s="984">
        <f>SUM(F76:J77)</f>
        <v>158.8</v>
      </c>
      <c r="F76" s="967">
        <f>118.8-40</f>
        <v>78.8</v>
      </c>
      <c r="G76" s="967">
        <v>20</v>
      </c>
      <c r="H76" s="967">
        <v>20</v>
      </c>
      <c r="I76" s="967">
        <v>20</v>
      </c>
      <c r="J76" s="967">
        <v>20</v>
      </c>
      <c r="K76" s="893"/>
      <c r="L76" s="936"/>
      <c r="M76" s="936"/>
      <c r="N76" s="936"/>
      <c r="O76" s="936"/>
      <c r="P76" s="936"/>
      <c r="Q76" s="838"/>
    </row>
    <row r="77" spans="1:17" ht="11.25" customHeight="1" thickBot="1">
      <c r="A77" s="777"/>
      <c r="B77" s="774"/>
      <c r="C77" s="982"/>
      <c r="D77" s="923"/>
      <c r="E77" s="985"/>
      <c r="F77" s="965"/>
      <c r="G77" s="965"/>
      <c r="H77" s="965"/>
      <c r="I77" s="965"/>
      <c r="J77" s="965"/>
      <c r="K77" s="893"/>
      <c r="L77" s="936"/>
      <c r="M77" s="936"/>
      <c r="N77" s="936"/>
      <c r="O77" s="936"/>
      <c r="P77" s="936"/>
      <c r="Q77" s="983"/>
    </row>
    <row r="78" spans="1:17" ht="24" customHeight="1">
      <c r="A78" s="837" t="s">
        <v>141</v>
      </c>
      <c r="B78" s="883" t="s">
        <v>139</v>
      </c>
      <c r="C78" s="926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934" t="s">
        <v>261</v>
      </c>
      <c r="L78" s="935" t="s">
        <v>236</v>
      </c>
      <c r="M78" s="935" t="s">
        <v>213</v>
      </c>
      <c r="N78" s="935" t="s">
        <v>213</v>
      </c>
      <c r="O78" s="935" t="s">
        <v>213</v>
      </c>
      <c r="P78" s="935" t="s">
        <v>213</v>
      </c>
      <c r="Q78" s="837" t="s">
        <v>142</v>
      </c>
    </row>
    <row r="79" spans="1:17" ht="16.5" customHeight="1">
      <c r="A79" s="776"/>
      <c r="B79" s="773"/>
      <c r="C79" s="896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893"/>
      <c r="L79" s="936"/>
      <c r="M79" s="936"/>
      <c r="N79" s="936"/>
      <c r="O79" s="936"/>
      <c r="P79" s="936"/>
      <c r="Q79" s="838"/>
    </row>
    <row r="80" spans="1:17" ht="16.5" customHeight="1" thickBot="1">
      <c r="A80" s="777"/>
      <c r="B80" s="774"/>
      <c r="C80" s="896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893"/>
      <c r="L80" s="936"/>
      <c r="M80" s="936"/>
      <c r="N80" s="936"/>
      <c r="O80" s="936"/>
      <c r="P80" s="936"/>
      <c r="Q80" s="983"/>
    </row>
    <row r="81" spans="1:17" ht="18" customHeight="1">
      <c r="A81" s="926"/>
      <c r="B81" s="854" t="s">
        <v>48</v>
      </c>
      <c r="C81" s="926"/>
      <c r="D81" s="1347" t="s">
        <v>207</v>
      </c>
      <c r="E81" s="902">
        <f>SUM(F81:J82)</f>
        <v>3102.8</v>
      </c>
      <c r="F81" s="902">
        <f>SUM(F83:F84)</f>
        <v>1883.5</v>
      </c>
      <c r="G81" s="902">
        <f>SUM(G83:G84)</f>
        <v>739.3</v>
      </c>
      <c r="H81" s="902">
        <f>SUM(H83:H84)</f>
        <v>160</v>
      </c>
      <c r="I81" s="902">
        <f>SUM(I83:I84)</f>
        <v>160</v>
      </c>
      <c r="J81" s="902">
        <f>SUM(J83:J84)</f>
        <v>160</v>
      </c>
      <c r="K81" s="986"/>
      <c r="L81" s="893"/>
      <c r="M81" s="893"/>
      <c r="N81" s="893"/>
      <c r="O81" s="893"/>
      <c r="P81" s="893"/>
      <c r="Q81" s="893"/>
    </row>
    <row r="82" spans="1:17" ht="12.75" customHeight="1">
      <c r="A82" s="926"/>
      <c r="B82" s="854"/>
      <c r="C82" s="926"/>
      <c r="D82" s="1348"/>
      <c r="E82" s="903"/>
      <c r="F82" s="903"/>
      <c r="G82" s="903"/>
      <c r="H82" s="903"/>
      <c r="I82" s="903"/>
      <c r="J82" s="903"/>
      <c r="K82" s="987"/>
      <c r="L82" s="893"/>
      <c r="M82" s="893"/>
      <c r="N82" s="893"/>
      <c r="O82" s="893"/>
      <c r="P82" s="893"/>
      <c r="Q82" s="893"/>
    </row>
    <row r="83" spans="1:17" ht="14.25" customHeight="1" thickBot="1">
      <c r="A83" s="926"/>
      <c r="B83" s="854"/>
      <c r="C83" s="926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987"/>
      <c r="L83" s="893"/>
      <c r="M83" s="893"/>
      <c r="N83" s="893"/>
      <c r="O83" s="893"/>
      <c r="P83" s="893"/>
      <c r="Q83" s="893"/>
    </row>
    <row r="84" spans="1:17" ht="14.25" customHeight="1" thickBot="1">
      <c r="A84" s="896"/>
      <c r="B84" s="1346"/>
      <c r="C84" s="896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988"/>
      <c r="L84" s="894"/>
      <c r="M84" s="894"/>
      <c r="N84" s="894"/>
      <c r="O84" s="894"/>
      <c r="P84" s="894"/>
      <c r="Q84" s="894"/>
    </row>
    <row r="85" spans="1:17" ht="13.5" customHeight="1">
      <c r="A85" s="8" t="s">
        <v>38</v>
      </c>
      <c r="B85" s="938" t="s">
        <v>93</v>
      </c>
      <c r="C85" s="939"/>
      <c r="D85" s="905"/>
      <c r="E85" s="905"/>
      <c r="F85" s="905"/>
      <c r="G85" s="905"/>
      <c r="H85" s="905"/>
      <c r="I85" s="905"/>
      <c r="J85" s="905"/>
      <c r="K85" s="939"/>
      <c r="L85" s="939"/>
      <c r="M85" s="939"/>
      <c r="N85" s="939"/>
      <c r="O85" s="939"/>
      <c r="P85" s="939"/>
      <c r="Q85" s="940"/>
    </row>
    <row r="86" spans="1:17" ht="16.5" customHeight="1">
      <c r="A86" s="837" t="s">
        <v>39</v>
      </c>
      <c r="B86" s="883" t="s">
        <v>58</v>
      </c>
      <c r="C86" s="951" t="s">
        <v>161</v>
      </c>
      <c r="D86" s="976" t="s">
        <v>223</v>
      </c>
      <c r="E86" s="959">
        <f aca="true" t="shared" si="13" ref="E86:J86">SUM(E93:E95)</f>
        <v>360286.7</v>
      </c>
      <c r="F86" s="959">
        <f t="shared" si="13"/>
        <v>75088</v>
      </c>
      <c r="G86" s="959">
        <f t="shared" si="13"/>
        <v>71066.7</v>
      </c>
      <c r="H86" s="959">
        <f t="shared" si="13"/>
        <v>67622</v>
      </c>
      <c r="I86" s="959">
        <f t="shared" si="13"/>
        <v>73255</v>
      </c>
      <c r="J86" s="959">
        <f t="shared" si="13"/>
        <v>73255</v>
      </c>
      <c r="K86" s="934" t="s">
        <v>262</v>
      </c>
      <c r="L86" s="935" t="s">
        <v>236</v>
      </c>
      <c r="M86" s="935" t="s">
        <v>236</v>
      </c>
      <c r="N86" s="935" t="s">
        <v>236</v>
      </c>
      <c r="O86" s="935" t="s">
        <v>236</v>
      </c>
      <c r="P86" s="935" t="s">
        <v>236</v>
      </c>
      <c r="Q86" s="935" t="s">
        <v>99</v>
      </c>
    </row>
    <row r="87" spans="1:17" ht="13.5" customHeight="1">
      <c r="A87" s="838"/>
      <c r="B87" s="956"/>
      <c r="C87" s="982"/>
      <c r="D87" s="977"/>
      <c r="E87" s="960"/>
      <c r="F87" s="960"/>
      <c r="G87" s="960"/>
      <c r="H87" s="960"/>
      <c r="I87" s="960"/>
      <c r="J87" s="960"/>
      <c r="K87" s="934"/>
      <c r="L87" s="935"/>
      <c r="M87" s="935"/>
      <c r="N87" s="935"/>
      <c r="O87" s="935"/>
      <c r="P87" s="935"/>
      <c r="Q87" s="935"/>
    </row>
    <row r="88" spans="1:17" ht="9" customHeight="1" hidden="1">
      <c r="A88" s="838"/>
      <c r="B88" s="956"/>
      <c r="C88" s="982"/>
      <c r="D88" s="977"/>
      <c r="E88" s="960"/>
      <c r="F88" s="960"/>
      <c r="G88" s="960"/>
      <c r="H88" s="960"/>
      <c r="I88" s="960"/>
      <c r="J88" s="960"/>
      <c r="K88" s="934"/>
      <c r="L88" s="935"/>
      <c r="M88" s="935"/>
      <c r="N88" s="935"/>
      <c r="O88" s="935"/>
      <c r="P88" s="935"/>
      <c r="Q88" s="935"/>
    </row>
    <row r="89" spans="1:17" ht="16.5" customHeight="1">
      <c r="A89" s="838"/>
      <c r="B89" s="956"/>
      <c r="C89" s="982"/>
      <c r="D89" s="978"/>
      <c r="E89" s="961"/>
      <c r="F89" s="961"/>
      <c r="G89" s="961"/>
      <c r="H89" s="961"/>
      <c r="I89" s="961"/>
      <c r="J89" s="961"/>
      <c r="K89" s="934"/>
      <c r="L89" s="935"/>
      <c r="M89" s="935"/>
      <c r="N89" s="935"/>
      <c r="O89" s="935"/>
      <c r="P89" s="935"/>
      <c r="Q89" s="935"/>
    </row>
    <row r="90" spans="1:17" ht="16.5" customHeight="1">
      <c r="A90" s="776"/>
      <c r="B90" s="773"/>
      <c r="C90" s="765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894"/>
      <c r="L90" s="763"/>
      <c r="M90" s="763"/>
      <c r="N90" s="763"/>
      <c r="O90" s="763"/>
      <c r="P90" s="763"/>
      <c r="Q90" s="763"/>
    </row>
    <row r="91" spans="1:17" ht="16.5" customHeight="1">
      <c r="A91" s="777"/>
      <c r="B91" s="774"/>
      <c r="C91" s="766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894"/>
      <c r="L91" s="763"/>
      <c r="M91" s="763"/>
      <c r="N91" s="763"/>
      <c r="O91" s="763"/>
      <c r="P91" s="763"/>
      <c r="Q91" s="763"/>
    </row>
    <row r="92" spans="1:17" ht="26.25" customHeight="1">
      <c r="A92" s="837" t="s">
        <v>94</v>
      </c>
      <c r="B92" s="837" t="s">
        <v>109</v>
      </c>
      <c r="C92" s="951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934" t="s">
        <v>263</v>
      </c>
      <c r="L92" s="935" t="s">
        <v>236</v>
      </c>
      <c r="M92" s="935" t="s">
        <v>236</v>
      </c>
      <c r="N92" s="935" t="s">
        <v>236</v>
      </c>
      <c r="O92" s="935" t="s">
        <v>236</v>
      </c>
      <c r="P92" s="935" t="s">
        <v>236</v>
      </c>
      <c r="Q92" s="887" t="s">
        <v>99</v>
      </c>
    </row>
    <row r="93" spans="1:17" ht="20.25" customHeight="1">
      <c r="A93" s="777"/>
      <c r="B93" s="1017"/>
      <c r="C93" s="766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894"/>
      <c r="L93" s="763"/>
      <c r="M93" s="763"/>
      <c r="N93" s="763"/>
      <c r="O93" s="763"/>
      <c r="P93" s="763"/>
      <c r="Q93" s="933"/>
    </row>
    <row r="94" spans="1:17" ht="25.5" customHeight="1">
      <c r="A94" s="837" t="s">
        <v>95</v>
      </c>
      <c r="B94" s="837" t="s">
        <v>100</v>
      </c>
      <c r="C94" s="951" t="s">
        <v>161</v>
      </c>
      <c r="D94" s="976" t="s">
        <v>220</v>
      </c>
      <c r="E94" s="959">
        <f>F94+G94+H94+I94+J94</f>
        <v>240826.9</v>
      </c>
      <c r="F94" s="959">
        <f>F98+F103+F106+F109+F111</f>
        <v>46596.6</v>
      </c>
      <c r="G94" s="959">
        <f>G98+G103+G106+G109+G111</f>
        <v>48774.6</v>
      </c>
      <c r="H94" s="959">
        <f>H98+H103+H106+H109+H111</f>
        <v>46729.9</v>
      </c>
      <c r="I94" s="959">
        <f>I98+I103+I106+I109+I111</f>
        <v>49362.9</v>
      </c>
      <c r="J94" s="959">
        <f>J98+J103+J106+J109+J111</f>
        <v>49362.9</v>
      </c>
      <c r="K94" s="953" t="s">
        <v>263</v>
      </c>
      <c r="L94" s="945">
        <v>100</v>
      </c>
      <c r="M94" s="945">
        <v>100</v>
      </c>
      <c r="N94" s="945">
        <v>100</v>
      </c>
      <c r="O94" s="945">
        <v>100</v>
      </c>
      <c r="P94" s="945">
        <v>100</v>
      </c>
      <c r="Q94" s="887" t="s">
        <v>99</v>
      </c>
    </row>
    <row r="95" spans="1:17" ht="6" customHeight="1">
      <c r="A95" s="838"/>
      <c r="B95" s="838"/>
      <c r="C95" s="982"/>
      <c r="D95" s="978"/>
      <c r="E95" s="933"/>
      <c r="F95" s="933"/>
      <c r="G95" s="933"/>
      <c r="H95" s="933"/>
      <c r="I95" s="933"/>
      <c r="J95" s="933"/>
      <c r="K95" s="941"/>
      <c r="L95" s="1349"/>
      <c r="M95" s="1349"/>
      <c r="N95" s="1349"/>
      <c r="O95" s="1349"/>
      <c r="P95" s="1349"/>
      <c r="Q95" s="932"/>
    </row>
    <row r="96" spans="1:17" ht="15.75" customHeight="1">
      <c r="A96" s="777"/>
      <c r="B96" s="777"/>
      <c r="C96" s="766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942"/>
      <c r="L96" s="933"/>
      <c r="M96" s="933"/>
      <c r="N96" s="933"/>
      <c r="O96" s="933"/>
      <c r="P96" s="933"/>
      <c r="Q96" s="933"/>
    </row>
    <row r="97" spans="1:17" ht="24.75" customHeight="1">
      <c r="A97" s="837" t="s">
        <v>101</v>
      </c>
      <c r="B97" s="883" t="s">
        <v>103</v>
      </c>
      <c r="C97" s="951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885" t="s">
        <v>264</v>
      </c>
      <c r="L97" s="887" t="s">
        <v>236</v>
      </c>
      <c r="M97" s="887" t="s">
        <v>236</v>
      </c>
      <c r="N97" s="887" t="s">
        <v>236</v>
      </c>
      <c r="O97" s="887" t="s">
        <v>236</v>
      </c>
      <c r="P97" s="887" t="s">
        <v>236</v>
      </c>
      <c r="Q97" s="887" t="s">
        <v>99</v>
      </c>
    </row>
    <row r="98" spans="1:17" ht="19.5" customHeight="1">
      <c r="A98" s="776"/>
      <c r="B98" s="1019"/>
      <c r="C98" s="839"/>
      <c r="D98" s="919" t="s">
        <v>6</v>
      </c>
      <c r="E98" s="917">
        <f>SUM(F98:J99)</f>
        <v>10274</v>
      </c>
      <c r="F98" s="917">
        <v>1840</v>
      </c>
      <c r="G98" s="917">
        <v>1934</v>
      </c>
      <c r="H98" s="917">
        <v>2100</v>
      </c>
      <c r="I98" s="917">
        <v>2200</v>
      </c>
      <c r="J98" s="917">
        <v>2200</v>
      </c>
      <c r="K98" s="941"/>
      <c r="L98" s="1351"/>
      <c r="M98" s="1351"/>
      <c r="N98" s="1351"/>
      <c r="O98" s="1351"/>
      <c r="P98" s="1351"/>
      <c r="Q98" s="932"/>
    </row>
    <row r="99" spans="1:17" ht="26.25" customHeight="1">
      <c r="A99" s="776"/>
      <c r="B99" s="1019"/>
      <c r="C99" s="839"/>
      <c r="D99" s="937"/>
      <c r="E99" s="920"/>
      <c r="F99" s="920"/>
      <c r="G99" s="920"/>
      <c r="H99" s="920"/>
      <c r="I99" s="920"/>
      <c r="J99" s="920"/>
      <c r="K99" s="941"/>
      <c r="L99" s="1351"/>
      <c r="M99" s="1351"/>
      <c r="N99" s="1351"/>
      <c r="O99" s="1351"/>
      <c r="P99" s="1351"/>
      <c r="Q99" s="932"/>
    </row>
    <row r="100" spans="1:17" ht="6" customHeight="1">
      <c r="A100" s="776"/>
      <c r="B100" s="1019"/>
      <c r="C100" s="839"/>
      <c r="D100" s="888"/>
      <c r="E100" s="932"/>
      <c r="F100" s="888"/>
      <c r="G100" s="888"/>
      <c r="H100" s="888"/>
      <c r="I100" s="932"/>
      <c r="J100" s="932"/>
      <c r="K100" s="941"/>
      <c r="L100" s="1351"/>
      <c r="M100" s="1351"/>
      <c r="N100" s="1351"/>
      <c r="O100" s="1351"/>
      <c r="P100" s="1351"/>
      <c r="Q100" s="932"/>
    </row>
    <row r="101" spans="1:17" ht="9" customHeight="1">
      <c r="A101" s="777"/>
      <c r="B101" s="1017"/>
      <c r="C101" s="1350"/>
      <c r="D101" s="975"/>
      <c r="E101" s="933"/>
      <c r="F101" s="975"/>
      <c r="G101" s="975"/>
      <c r="H101" s="975"/>
      <c r="I101" s="933"/>
      <c r="J101" s="933"/>
      <c r="K101" s="942"/>
      <c r="L101" s="969"/>
      <c r="M101" s="969"/>
      <c r="N101" s="969"/>
      <c r="O101" s="969"/>
      <c r="P101" s="969"/>
      <c r="Q101" s="933"/>
    </row>
    <row r="102" spans="1:17" ht="26.25" customHeight="1">
      <c r="A102" s="837" t="s">
        <v>102</v>
      </c>
      <c r="B102" s="883" t="s">
        <v>61</v>
      </c>
      <c r="C102" s="951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885" t="s">
        <v>263</v>
      </c>
      <c r="L102" s="887" t="s">
        <v>236</v>
      </c>
      <c r="M102" s="887" t="s">
        <v>213</v>
      </c>
      <c r="N102" s="887" t="s">
        <v>213</v>
      </c>
      <c r="O102" s="887" t="s">
        <v>213</v>
      </c>
      <c r="P102" s="887" t="s">
        <v>213</v>
      </c>
      <c r="Q102" s="159"/>
    </row>
    <row r="103" spans="1:17" ht="62.25" customHeight="1">
      <c r="A103" s="776"/>
      <c r="B103" s="1019"/>
      <c r="C103" s="765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941"/>
      <c r="L103" s="1351"/>
      <c r="M103" s="1351"/>
      <c r="N103" s="1351"/>
      <c r="O103" s="1351"/>
      <c r="P103" s="1351"/>
      <c r="Q103" s="158" t="s">
        <v>206</v>
      </c>
    </row>
    <row r="104" spans="1:17" ht="51" customHeight="1" hidden="1">
      <c r="A104" s="777"/>
      <c r="B104" s="1017"/>
      <c r="C104" s="766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942"/>
      <c r="L104" s="969"/>
      <c r="M104" s="969"/>
      <c r="N104" s="969"/>
      <c r="O104" s="969"/>
      <c r="P104" s="969"/>
      <c r="Q104" s="158"/>
    </row>
    <row r="105" spans="1:17" ht="28.5" customHeight="1">
      <c r="A105" s="1016" t="s">
        <v>104</v>
      </c>
      <c r="B105" s="1016" t="s">
        <v>66</v>
      </c>
      <c r="C105" s="951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885" t="s">
        <v>263</v>
      </c>
      <c r="L105" s="887" t="s">
        <v>236</v>
      </c>
      <c r="M105" s="887" t="s">
        <v>236</v>
      </c>
      <c r="N105" s="887" t="s">
        <v>236</v>
      </c>
      <c r="O105" s="887" t="s">
        <v>236</v>
      </c>
      <c r="P105" s="887" t="s">
        <v>236</v>
      </c>
      <c r="Q105" s="158"/>
    </row>
    <row r="106" spans="1:17" ht="26.25" customHeight="1">
      <c r="A106" s="1017"/>
      <c r="B106" s="1017"/>
      <c r="C106" s="765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942"/>
      <c r="L106" s="933"/>
      <c r="M106" s="933"/>
      <c r="N106" s="933"/>
      <c r="O106" s="933"/>
      <c r="P106" s="933"/>
      <c r="Q106" s="168" t="s">
        <v>205</v>
      </c>
    </row>
    <row r="107" spans="1:17" ht="36.75" customHeight="1" hidden="1">
      <c r="A107" s="81"/>
      <c r="B107" s="80"/>
      <c r="C107" s="766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837" t="s">
        <v>105</v>
      </c>
      <c r="B108" s="883" t="s">
        <v>62</v>
      </c>
      <c r="C108" s="951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885" t="s">
        <v>263</v>
      </c>
      <c r="L108" s="887" t="s">
        <v>236</v>
      </c>
      <c r="M108" s="887" t="s">
        <v>236</v>
      </c>
      <c r="N108" s="887" t="s">
        <v>236</v>
      </c>
      <c r="O108" s="887" t="s">
        <v>236</v>
      </c>
      <c r="P108" s="887" t="s">
        <v>236</v>
      </c>
      <c r="Q108" s="168"/>
    </row>
    <row r="109" spans="1:17" ht="16.5" customHeight="1">
      <c r="A109" s="1017"/>
      <c r="B109" s="1017"/>
      <c r="C109" s="766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942"/>
      <c r="L109" s="969"/>
      <c r="M109" s="969"/>
      <c r="N109" s="969"/>
      <c r="O109" s="969"/>
      <c r="P109" s="969"/>
      <c r="Q109" s="168" t="s">
        <v>99</v>
      </c>
    </row>
    <row r="110" spans="1:17" ht="26.25" customHeight="1">
      <c r="A110" s="837" t="s">
        <v>106</v>
      </c>
      <c r="B110" s="883" t="s">
        <v>65</v>
      </c>
      <c r="C110" s="951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885" t="s">
        <v>263</v>
      </c>
      <c r="L110" s="887" t="s">
        <v>236</v>
      </c>
      <c r="M110" s="887" t="s">
        <v>236</v>
      </c>
      <c r="N110" s="887" t="s">
        <v>236</v>
      </c>
      <c r="O110" s="887" t="s">
        <v>236</v>
      </c>
      <c r="P110" s="887" t="s">
        <v>236</v>
      </c>
      <c r="Q110" s="168"/>
    </row>
    <row r="111" spans="1:17" ht="44.25" customHeight="1">
      <c r="A111" s="1019"/>
      <c r="B111" s="1019"/>
      <c r="C111" s="765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941"/>
      <c r="L111" s="1352"/>
      <c r="M111" s="1352"/>
      <c r="N111" s="1352"/>
      <c r="O111" s="1352"/>
      <c r="P111" s="1352"/>
      <c r="Q111" s="168" t="s">
        <v>160</v>
      </c>
    </row>
    <row r="112" spans="1:17" ht="34.5" customHeight="1" hidden="1">
      <c r="A112" s="1017"/>
      <c r="B112" s="1017"/>
      <c r="C112" s="766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942"/>
      <c r="L112" s="1353"/>
      <c r="M112" s="1353"/>
      <c r="N112" s="1353"/>
      <c r="O112" s="1353"/>
      <c r="P112" s="1353"/>
      <c r="Q112" s="168"/>
    </row>
    <row r="113" spans="1:17" ht="30" customHeight="1">
      <c r="A113" s="837" t="s">
        <v>107</v>
      </c>
      <c r="B113" s="883" t="s">
        <v>59</v>
      </c>
      <c r="C113" s="951" t="s">
        <v>161</v>
      </c>
      <c r="D113" s="957" t="s">
        <v>216</v>
      </c>
      <c r="E113" s="959">
        <f aca="true" t="shared" si="24" ref="E113:J113">SUM(E120:E122)</f>
        <v>356639.5</v>
      </c>
      <c r="F113" s="959">
        <f t="shared" si="24"/>
        <v>70964.8</v>
      </c>
      <c r="G113" s="959">
        <f t="shared" si="24"/>
        <v>65711.8</v>
      </c>
      <c r="H113" s="959">
        <f t="shared" si="24"/>
        <v>69306.1</v>
      </c>
      <c r="I113" s="959">
        <f t="shared" si="24"/>
        <v>75328.4</v>
      </c>
      <c r="J113" s="959">
        <f t="shared" si="24"/>
        <v>75328.4</v>
      </c>
      <c r="K113" s="885" t="s">
        <v>50</v>
      </c>
      <c r="L113" s="887" t="s">
        <v>266</v>
      </c>
      <c r="M113" s="887" t="s">
        <v>266</v>
      </c>
      <c r="N113" s="887" t="s">
        <v>266</v>
      </c>
      <c r="O113" s="887" t="s">
        <v>266</v>
      </c>
      <c r="P113" s="887" t="s">
        <v>266</v>
      </c>
      <c r="Q113" s="837" t="s">
        <v>51</v>
      </c>
    </row>
    <row r="114" spans="1:17" ht="5.25" customHeight="1">
      <c r="A114" s="838"/>
      <c r="B114" s="956"/>
      <c r="C114" s="982"/>
      <c r="D114" s="958"/>
      <c r="E114" s="960"/>
      <c r="F114" s="960"/>
      <c r="G114" s="960"/>
      <c r="H114" s="960"/>
      <c r="I114" s="960"/>
      <c r="J114" s="960"/>
      <c r="K114" s="1355"/>
      <c r="L114" s="1351"/>
      <c r="M114" s="1351"/>
      <c r="N114" s="1351"/>
      <c r="O114" s="1351"/>
      <c r="P114" s="1351"/>
      <c r="Q114" s="838"/>
    </row>
    <row r="115" spans="1:17" ht="15" customHeight="1">
      <c r="A115" s="838"/>
      <c r="B115" s="956"/>
      <c r="C115" s="982"/>
      <c r="D115" s="958"/>
      <c r="E115" s="960"/>
      <c r="F115" s="960"/>
      <c r="G115" s="960"/>
      <c r="H115" s="960"/>
      <c r="I115" s="960"/>
      <c r="J115" s="960"/>
      <c r="K115" s="1355"/>
      <c r="L115" s="1351"/>
      <c r="M115" s="1351"/>
      <c r="N115" s="1351"/>
      <c r="O115" s="1351"/>
      <c r="P115" s="1351"/>
      <c r="Q115" s="838"/>
    </row>
    <row r="116" spans="1:17" ht="4.5" customHeight="1">
      <c r="A116" s="838"/>
      <c r="B116" s="956"/>
      <c r="C116" s="982"/>
      <c r="D116" s="1354"/>
      <c r="E116" s="961"/>
      <c r="F116" s="961"/>
      <c r="G116" s="961"/>
      <c r="H116" s="961"/>
      <c r="I116" s="961"/>
      <c r="J116" s="961"/>
      <c r="K116" s="1355"/>
      <c r="L116" s="1351"/>
      <c r="M116" s="1351"/>
      <c r="N116" s="1351"/>
      <c r="O116" s="1351"/>
      <c r="P116" s="1351"/>
      <c r="Q116" s="838"/>
    </row>
    <row r="117" spans="1:17" ht="15" customHeight="1">
      <c r="A117" s="776"/>
      <c r="B117" s="773"/>
      <c r="C117" s="765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941"/>
      <c r="L117" s="1352"/>
      <c r="M117" s="1352"/>
      <c r="N117" s="1352"/>
      <c r="O117" s="1352"/>
      <c r="P117" s="1352"/>
      <c r="Q117" s="776"/>
    </row>
    <row r="118" spans="1:17" ht="15" customHeight="1">
      <c r="A118" s="777"/>
      <c r="B118" s="774"/>
      <c r="C118" s="766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942"/>
      <c r="L118" s="1353"/>
      <c r="M118" s="1353"/>
      <c r="N118" s="1353"/>
      <c r="O118" s="1353"/>
      <c r="P118" s="1353"/>
      <c r="Q118" s="777"/>
    </row>
    <row r="119" spans="1:17" ht="21" customHeight="1">
      <c r="A119" s="837" t="s">
        <v>96</v>
      </c>
      <c r="B119" s="883" t="s">
        <v>110</v>
      </c>
      <c r="C119" s="951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885" t="s">
        <v>267</v>
      </c>
      <c r="L119" s="887" t="s">
        <v>236</v>
      </c>
      <c r="M119" s="887" t="s">
        <v>236</v>
      </c>
      <c r="N119" s="887" t="s">
        <v>236</v>
      </c>
      <c r="O119" s="887" t="s">
        <v>236</v>
      </c>
      <c r="P119" s="887" t="s">
        <v>236</v>
      </c>
      <c r="Q119" s="887" t="s">
        <v>51</v>
      </c>
    </row>
    <row r="120" spans="1:17" ht="14.25" customHeight="1">
      <c r="A120" s="776"/>
      <c r="B120" s="773"/>
      <c r="C120" s="765"/>
      <c r="D120" s="919" t="s">
        <v>5</v>
      </c>
      <c r="E120" s="917">
        <f>SUM(F120:J121)</f>
        <v>44544.2</v>
      </c>
      <c r="F120" s="917">
        <v>11383.4</v>
      </c>
      <c r="G120" s="917">
        <f>8645.2+80</f>
        <v>8725.2</v>
      </c>
      <c r="H120" s="917">
        <v>7145.2</v>
      </c>
      <c r="I120" s="917">
        <v>8645.2</v>
      </c>
      <c r="J120" s="917">
        <v>8645.2</v>
      </c>
      <c r="K120" s="941"/>
      <c r="L120" s="1352"/>
      <c r="M120" s="1352"/>
      <c r="N120" s="1352"/>
      <c r="O120" s="1352"/>
      <c r="P120" s="1352"/>
      <c r="Q120" s="932"/>
    </row>
    <row r="121" spans="1:17" ht="14.25" customHeight="1">
      <c r="A121" s="777"/>
      <c r="B121" s="774"/>
      <c r="C121" s="766"/>
      <c r="D121" s="923"/>
      <c r="E121" s="918"/>
      <c r="F121" s="918"/>
      <c r="G121" s="918"/>
      <c r="H121" s="918"/>
      <c r="I121" s="918"/>
      <c r="J121" s="918"/>
      <c r="K121" s="942"/>
      <c r="L121" s="1353"/>
      <c r="M121" s="1353"/>
      <c r="N121" s="1353"/>
      <c r="O121" s="1353"/>
      <c r="P121" s="1353"/>
      <c r="Q121" s="933"/>
    </row>
    <row r="122" spans="1:17" ht="24" customHeight="1">
      <c r="A122" s="837" t="s">
        <v>97</v>
      </c>
      <c r="B122" s="883" t="s">
        <v>108</v>
      </c>
      <c r="C122" s="951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934"/>
      <c r="L122" s="963"/>
      <c r="M122" s="963"/>
      <c r="N122" s="963"/>
      <c r="O122" s="963"/>
      <c r="P122" s="963"/>
      <c r="Q122" s="887"/>
    </row>
    <row r="123" spans="1:17" ht="24" customHeight="1">
      <c r="A123" s="777"/>
      <c r="B123" s="774"/>
      <c r="C123" s="766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894"/>
      <c r="L123" s="763"/>
      <c r="M123" s="763"/>
      <c r="N123" s="763"/>
      <c r="O123" s="763"/>
      <c r="P123" s="763"/>
      <c r="Q123" s="933"/>
    </row>
    <row r="124" spans="1:17" ht="26.25" customHeight="1">
      <c r="A124" s="837" t="s">
        <v>112</v>
      </c>
      <c r="B124" s="883" t="s">
        <v>62</v>
      </c>
      <c r="C124" s="927" t="s">
        <v>161</v>
      </c>
      <c r="D124" s="919" t="s">
        <v>6</v>
      </c>
      <c r="E124" s="921">
        <f>SUM(F124:J125)</f>
        <v>310796.10000000003</v>
      </c>
      <c r="F124" s="921">
        <f>62197.9-3100.2</f>
        <v>59097.700000000004</v>
      </c>
      <c r="G124" s="921">
        <f>60023.4-3252.3</f>
        <v>56771.1</v>
      </c>
      <c r="H124" s="921">
        <v>61960.9</v>
      </c>
      <c r="I124" s="921">
        <v>66483.2</v>
      </c>
      <c r="J124" s="921">
        <v>66483.2</v>
      </c>
      <c r="K124" s="934" t="s">
        <v>263</v>
      </c>
      <c r="L124" s="935" t="s">
        <v>236</v>
      </c>
      <c r="M124" s="935" t="s">
        <v>236</v>
      </c>
      <c r="N124" s="935" t="s">
        <v>236</v>
      </c>
      <c r="O124" s="935" t="s">
        <v>236</v>
      </c>
      <c r="P124" s="935" t="s">
        <v>236</v>
      </c>
      <c r="Q124" s="887" t="s">
        <v>51</v>
      </c>
    </row>
    <row r="125" spans="1:17" ht="21" customHeight="1">
      <c r="A125" s="838"/>
      <c r="B125" s="956"/>
      <c r="C125" s="927"/>
      <c r="D125" s="937"/>
      <c r="E125" s="921"/>
      <c r="F125" s="921"/>
      <c r="G125" s="921"/>
      <c r="H125" s="921"/>
      <c r="I125" s="921"/>
      <c r="J125" s="921"/>
      <c r="K125" s="894"/>
      <c r="L125" s="1356"/>
      <c r="M125" s="1356"/>
      <c r="N125" s="1356"/>
      <c r="O125" s="1356"/>
      <c r="P125" s="1356"/>
      <c r="Q125" s="1351"/>
    </row>
    <row r="126" spans="1:17" ht="24.75" customHeight="1">
      <c r="A126" s="950" t="s">
        <v>111</v>
      </c>
      <c r="B126" s="929" t="s">
        <v>61</v>
      </c>
      <c r="C126" s="927" t="s">
        <v>161</v>
      </c>
      <c r="D126" s="919" t="s">
        <v>6</v>
      </c>
      <c r="E126" s="921">
        <f>SUM(F126:J127)</f>
        <v>483.7</v>
      </c>
      <c r="F126" s="921">
        <v>483.7</v>
      </c>
      <c r="G126" s="921">
        <v>0</v>
      </c>
      <c r="H126" s="921">
        <v>0</v>
      </c>
      <c r="I126" s="921">
        <v>0</v>
      </c>
      <c r="J126" s="921">
        <v>0</v>
      </c>
      <c r="K126" s="934" t="s">
        <v>263</v>
      </c>
      <c r="L126" s="935" t="s">
        <v>236</v>
      </c>
      <c r="M126" s="935" t="s">
        <v>213</v>
      </c>
      <c r="N126" s="935" t="s">
        <v>213</v>
      </c>
      <c r="O126" s="935" t="s">
        <v>213</v>
      </c>
      <c r="P126" s="935" t="s">
        <v>213</v>
      </c>
      <c r="Q126" s="935" t="s">
        <v>51</v>
      </c>
    </row>
    <row r="127" spans="1:17" ht="13.5" customHeight="1">
      <c r="A127" s="950"/>
      <c r="B127" s="929"/>
      <c r="C127" s="927"/>
      <c r="D127" s="923"/>
      <c r="E127" s="922"/>
      <c r="F127" s="922"/>
      <c r="G127" s="922"/>
      <c r="H127" s="922"/>
      <c r="I127" s="922"/>
      <c r="J127" s="922"/>
      <c r="K127" s="894"/>
      <c r="L127" s="1356"/>
      <c r="M127" s="1356"/>
      <c r="N127" s="1356"/>
      <c r="O127" s="1356"/>
      <c r="P127" s="1356"/>
      <c r="Q127" s="935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837" t="s">
        <v>113</v>
      </c>
      <c r="B129" s="883" t="s">
        <v>60</v>
      </c>
      <c r="C129" s="951" t="s">
        <v>161</v>
      </c>
      <c r="D129" s="976" t="s">
        <v>249</v>
      </c>
      <c r="E129" s="1357">
        <f>SUM(F129:J131)</f>
        <v>56647.7</v>
      </c>
      <c r="F129" s="959">
        <f>F132+F133</f>
        <v>13374.299999999997</v>
      </c>
      <c r="G129" s="959">
        <f>G132+G133</f>
        <v>11099.699999999999</v>
      </c>
      <c r="H129" s="959">
        <f>H132+H133</f>
        <v>9657.9</v>
      </c>
      <c r="I129" s="959">
        <f>I132+I133</f>
        <v>11257.9</v>
      </c>
      <c r="J129" s="959">
        <f>J132+J133</f>
        <v>11257.9</v>
      </c>
      <c r="K129" s="883" t="s">
        <v>268</v>
      </c>
      <c r="L129" s="1358" t="s">
        <v>269</v>
      </c>
      <c r="M129" s="1358" t="s">
        <v>269</v>
      </c>
      <c r="N129" s="1358" t="s">
        <v>270</v>
      </c>
      <c r="O129" s="1358" t="s">
        <v>270</v>
      </c>
      <c r="P129" s="1358" t="s">
        <v>270</v>
      </c>
      <c r="Q129" s="837"/>
    </row>
    <row r="130" spans="1:17" ht="24" customHeight="1">
      <c r="A130" s="838"/>
      <c r="B130" s="956"/>
      <c r="C130" s="982"/>
      <c r="D130" s="977"/>
      <c r="E130" s="1336"/>
      <c r="F130" s="960"/>
      <c r="G130" s="960"/>
      <c r="H130" s="960"/>
      <c r="I130" s="960"/>
      <c r="J130" s="960"/>
      <c r="K130" s="956"/>
      <c r="L130" s="1359"/>
      <c r="M130" s="1359"/>
      <c r="N130" s="1359"/>
      <c r="O130" s="1359"/>
      <c r="P130" s="1359"/>
      <c r="Q130" s="838"/>
    </row>
    <row r="131" spans="1:17" ht="9.75" customHeight="1">
      <c r="A131" s="838"/>
      <c r="B131" s="956"/>
      <c r="C131" s="982"/>
      <c r="D131" s="978"/>
      <c r="E131" s="1336"/>
      <c r="F131" s="960"/>
      <c r="G131" s="960"/>
      <c r="H131" s="960"/>
      <c r="I131" s="960"/>
      <c r="J131" s="960"/>
      <c r="K131" s="956"/>
      <c r="L131" s="1359"/>
      <c r="M131" s="1359"/>
      <c r="N131" s="1359"/>
      <c r="O131" s="1359"/>
      <c r="P131" s="1359"/>
      <c r="Q131" s="838"/>
    </row>
    <row r="132" spans="1:17" ht="9.75" customHeight="1">
      <c r="A132" s="776"/>
      <c r="B132" s="773"/>
      <c r="C132" s="765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773"/>
      <c r="L132" s="1359"/>
      <c r="M132" s="1359"/>
      <c r="N132" s="1359"/>
      <c r="O132" s="1359"/>
      <c r="P132" s="1359"/>
      <c r="Q132" s="776"/>
    </row>
    <row r="133" spans="1:17" ht="9.75" customHeight="1">
      <c r="A133" s="777"/>
      <c r="B133" s="774"/>
      <c r="C133" s="766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774"/>
      <c r="L133" s="1360"/>
      <c r="M133" s="1360"/>
      <c r="N133" s="1360"/>
      <c r="O133" s="1360"/>
      <c r="P133" s="1360"/>
      <c r="Q133" s="777"/>
    </row>
    <row r="134" spans="1:17" ht="24" customHeight="1">
      <c r="A134" s="837" t="s">
        <v>98</v>
      </c>
      <c r="B134" s="883" t="s">
        <v>114</v>
      </c>
      <c r="C134" s="951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934" t="s">
        <v>267</v>
      </c>
      <c r="L134" s="1358" t="s">
        <v>236</v>
      </c>
      <c r="M134" s="1358" t="s">
        <v>236</v>
      </c>
      <c r="N134" s="1358" t="s">
        <v>236</v>
      </c>
      <c r="O134" s="1358" t="s">
        <v>236</v>
      </c>
      <c r="P134" s="1358" t="s">
        <v>236</v>
      </c>
      <c r="Q134" s="935" t="s">
        <v>142</v>
      </c>
    </row>
    <row r="135" spans="1:17" ht="21" customHeight="1">
      <c r="A135" s="776"/>
      <c r="B135" s="773"/>
      <c r="C135" s="765"/>
      <c r="D135" s="919" t="s">
        <v>5</v>
      </c>
      <c r="E135" s="921">
        <f>SUM(F135:J136)</f>
        <v>48549.59999999999</v>
      </c>
      <c r="F135" s="917">
        <f>10904.3-89.1-29.7+1056.9</f>
        <v>11842.399999999998</v>
      </c>
      <c r="G135" s="917">
        <v>9551.8</v>
      </c>
      <c r="H135" s="917">
        <v>8051.8</v>
      </c>
      <c r="I135" s="917">
        <v>9551.8</v>
      </c>
      <c r="J135" s="917">
        <v>9551.8</v>
      </c>
      <c r="K135" s="930"/>
      <c r="L135" s="1359"/>
      <c r="M135" s="1359"/>
      <c r="N135" s="1359"/>
      <c r="O135" s="1359"/>
      <c r="P135" s="1359"/>
      <c r="Q135" s="763"/>
    </row>
    <row r="136" spans="1:17" ht="5.25" customHeight="1">
      <c r="A136" s="777"/>
      <c r="B136" s="774"/>
      <c r="C136" s="766"/>
      <c r="D136" s="923"/>
      <c r="E136" s="922"/>
      <c r="F136" s="918"/>
      <c r="G136" s="918"/>
      <c r="H136" s="918"/>
      <c r="I136" s="918"/>
      <c r="J136" s="918"/>
      <c r="K136" s="930"/>
      <c r="L136" s="1360"/>
      <c r="M136" s="1360"/>
      <c r="N136" s="1360"/>
      <c r="O136" s="1360"/>
      <c r="P136" s="1360"/>
      <c r="Q136" s="763"/>
    </row>
    <row r="137" spans="1:17" ht="25.5" customHeight="1">
      <c r="A137" s="950" t="s">
        <v>115</v>
      </c>
      <c r="B137" s="929" t="s">
        <v>67</v>
      </c>
      <c r="C137" s="951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885" t="s">
        <v>264</v>
      </c>
      <c r="L137" s="887" t="s">
        <v>236</v>
      </c>
      <c r="M137" s="887" t="s">
        <v>236</v>
      </c>
      <c r="N137" s="887" t="s">
        <v>236</v>
      </c>
      <c r="O137" s="887" t="s">
        <v>236</v>
      </c>
      <c r="P137" s="887" t="s">
        <v>236</v>
      </c>
      <c r="Q137" s="887" t="s">
        <v>142</v>
      </c>
    </row>
    <row r="138" spans="1:17" ht="16.5" customHeight="1">
      <c r="A138" s="962"/>
      <c r="B138" s="1361"/>
      <c r="C138" s="765"/>
      <c r="D138" s="919" t="s">
        <v>6</v>
      </c>
      <c r="E138" s="890">
        <f>SUM(F138:J141)</f>
        <v>8098.1</v>
      </c>
      <c r="F138" s="890">
        <v>1531.9</v>
      </c>
      <c r="G138" s="890">
        <v>1547.9</v>
      </c>
      <c r="H138" s="890">
        <v>1606.1</v>
      </c>
      <c r="I138" s="890">
        <v>1706.1</v>
      </c>
      <c r="J138" s="890">
        <v>1706.1</v>
      </c>
      <c r="K138" s="941"/>
      <c r="L138" s="1362"/>
      <c r="M138" s="1362"/>
      <c r="N138" s="1362"/>
      <c r="O138" s="1362"/>
      <c r="P138" s="1362"/>
      <c r="Q138" s="932"/>
    </row>
    <row r="139" spans="1:17" ht="11.25" customHeight="1">
      <c r="A139" s="962"/>
      <c r="B139" s="1361"/>
      <c r="C139" s="765"/>
      <c r="D139" s="888"/>
      <c r="E139" s="890"/>
      <c r="F139" s="890"/>
      <c r="G139" s="890"/>
      <c r="H139" s="890"/>
      <c r="I139" s="890"/>
      <c r="J139" s="890"/>
      <c r="K139" s="941"/>
      <c r="L139" s="1362"/>
      <c r="M139" s="1362"/>
      <c r="N139" s="1362"/>
      <c r="O139" s="1362"/>
      <c r="P139" s="1362"/>
      <c r="Q139" s="932"/>
    </row>
    <row r="140" spans="1:17" ht="10.5" customHeight="1">
      <c r="A140" s="962"/>
      <c r="B140" s="1361"/>
      <c r="C140" s="765"/>
      <c r="D140" s="888"/>
      <c r="E140" s="890"/>
      <c r="F140" s="890"/>
      <c r="G140" s="890"/>
      <c r="H140" s="890"/>
      <c r="I140" s="890"/>
      <c r="J140" s="890"/>
      <c r="K140" s="941"/>
      <c r="L140" s="1362"/>
      <c r="M140" s="1362"/>
      <c r="N140" s="1362"/>
      <c r="O140" s="1362"/>
      <c r="P140" s="1362"/>
      <c r="Q140" s="932"/>
    </row>
    <row r="141" spans="1:17" ht="12.75" customHeight="1" hidden="1">
      <c r="A141" s="962"/>
      <c r="B141" s="1361"/>
      <c r="C141" s="765"/>
      <c r="D141" s="975"/>
      <c r="E141" s="890"/>
      <c r="F141" s="890"/>
      <c r="G141" s="890"/>
      <c r="H141" s="890"/>
      <c r="I141" s="890"/>
      <c r="J141" s="890"/>
      <c r="K141" s="942"/>
      <c r="L141" s="1363"/>
      <c r="M141" s="1363"/>
      <c r="N141" s="1363"/>
      <c r="O141" s="1363"/>
      <c r="P141" s="1363"/>
      <c r="Q141" s="933"/>
    </row>
    <row r="142" spans="1:17" ht="12" customHeight="1">
      <c r="A142" s="926"/>
      <c r="B142" s="854" t="s">
        <v>49</v>
      </c>
      <c r="C142" s="926"/>
      <c r="D142" s="33" t="s">
        <v>11</v>
      </c>
      <c r="E142" s="903">
        <f aca="true" t="shared" si="33" ref="E142:J142">SUM(E144:E145)</f>
        <v>773573.9</v>
      </c>
      <c r="F142" s="903">
        <f t="shared" si="33"/>
        <v>159427.1</v>
      </c>
      <c r="G142" s="903">
        <f t="shared" si="33"/>
        <v>147878.2</v>
      </c>
      <c r="H142" s="903">
        <f t="shared" si="33"/>
        <v>146586</v>
      </c>
      <c r="I142" s="903">
        <f t="shared" si="33"/>
        <v>159841.30000000002</v>
      </c>
      <c r="J142" s="903">
        <f t="shared" si="33"/>
        <v>159841.30000000002</v>
      </c>
      <c r="K142" s="893"/>
      <c r="L142" s="1364"/>
      <c r="M142" s="1364"/>
      <c r="N142" s="1364"/>
      <c r="O142" s="1364"/>
      <c r="P142" s="1364"/>
      <c r="Q142" s="926"/>
    </row>
    <row r="143" spans="1:17" ht="12" customHeight="1">
      <c r="A143" s="926"/>
      <c r="B143" s="854"/>
      <c r="C143" s="926"/>
      <c r="D143" s="33" t="s">
        <v>12</v>
      </c>
      <c r="E143" s="903"/>
      <c r="F143" s="903"/>
      <c r="G143" s="903"/>
      <c r="H143" s="903"/>
      <c r="I143" s="903"/>
      <c r="J143" s="903"/>
      <c r="K143" s="893"/>
      <c r="L143" s="889"/>
      <c r="M143" s="889"/>
      <c r="N143" s="889"/>
      <c r="O143" s="889"/>
      <c r="P143" s="889"/>
      <c r="Q143" s="926"/>
    </row>
    <row r="144" spans="1:17" ht="12" customHeight="1">
      <c r="A144" s="926"/>
      <c r="B144" s="854"/>
      <c r="C144" s="926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893"/>
      <c r="L144" s="889"/>
      <c r="M144" s="889"/>
      <c r="N144" s="889"/>
      <c r="O144" s="889"/>
      <c r="P144" s="889"/>
      <c r="Q144" s="926"/>
    </row>
    <row r="145" spans="1:17" ht="12" customHeight="1">
      <c r="A145" s="926"/>
      <c r="B145" s="854"/>
      <c r="C145" s="926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893"/>
      <c r="L145" s="889"/>
      <c r="M145" s="889"/>
      <c r="N145" s="889"/>
      <c r="O145" s="889"/>
      <c r="P145" s="889"/>
      <c r="Q145" s="926"/>
    </row>
    <row r="146" spans="1:17" ht="15" customHeight="1">
      <c r="A146" s="97" t="s">
        <v>116</v>
      </c>
      <c r="B146" s="1365" t="s">
        <v>117</v>
      </c>
      <c r="C146" s="1366"/>
      <c r="D146" s="1366"/>
      <c r="E146" s="1366"/>
      <c r="F146" s="1366"/>
      <c r="G146" s="1366"/>
      <c r="H146" s="1366"/>
      <c r="I146" s="1366"/>
      <c r="J146" s="1366"/>
      <c r="K146" s="1366"/>
      <c r="L146" s="1366"/>
      <c r="M146" s="1366"/>
      <c r="N146" s="1366"/>
      <c r="O146" s="1366"/>
      <c r="P146" s="1366"/>
      <c r="Q146" s="1367"/>
    </row>
    <row r="147" spans="1:17" ht="52.5" customHeight="1">
      <c r="A147" s="168" t="s">
        <v>118</v>
      </c>
      <c r="B147" s="172" t="s">
        <v>71</v>
      </c>
      <c r="C147" s="926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885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887" t="s">
        <v>51</v>
      </c>
    </row>
    <row r="148" spans="1:17" ht="48" customHeight="1">
      <c r="A148" s="1056" t="s">
        <v>287</v>
      </c>
      <c r="B148" s="1368" t="s">
        <v>286</v>
      </c>
      <c r="C148" s="931"/>
      <c r="D148" s="889" t="s">
        <v>6</v>
      </c>
      <c r="E148" s="890">
        <f>SUM(F148:J149)</f>
        <v>601.7</v>
      </c>
      <c r="F148" s="921">
        <v>98.5</v>
      </c>
      <c r="G148" s="921">
        <f>136.6-0.4</f>
        <v>136.2</v>
      </c>
      <c r="H148" s="742">
        <v>130</v>
      </c>
      <c r="I148" s="742">
        <v>118.5</v>
      </c>
      <c r="J148" s="742">
        <v>118.5</v>
      </c>
      <c r="K148" s="941"/>
      <c r="L148" s="945">
        <v>100</v>
      </c>
      <c r="M148" s="945">
        <v>100</v>
      </c>
      <c r="N148" s="945">
        <v>100</v>
      </c>
      <c r="O148" s="945">
        <v>100</v>
      </c>
      <c r="P148" s="945">
        <v>100</v>
      </c>
      <c r="Q148" s="915"/>
    </row>
    <row r="149" spans="1:17" ht="11.25" customHeight="1">
      <c r="A149" s="962"/>
      <c r="B149" s="930"/>
      <c r="C149" s="931"/>
      <c r="D149" s="889"/>
      <c r="E149" s="889"/>
      <c r="F149" s="921"/>
      <c r="G149" s="921"/>
      <c r="H149" s="742"/>
      <c r="I149" s="742"/>
      <c r="J149" s="742"/>
      <c r="K149" s="941"/>
      <c r="L149" s="946"/>
      <c r="M149" s="946"/>
      <c r="N149" s="946"/>
      <c r="O149" s="946"/>
      <c r="P149" s="946"/>
      <c r="Q149" s="915"/>
    </row>
    <row r="150" spans="1:17" ht="21" customHeight="1">
      <c r="A150" s="146" t="s">
        <v>288</v>
      </c>
      <c r="B150" s="172" t="s">
        <v>204</v>
      </c>
      <c r="C150" s="931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942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916"/>
    </row>
    <row r="151" spans="1:17" ht="21" customHeight="1">
      <c r="A151" s="837" t="s">
        <v>119</v>
      </c>
      <c r="B151" s="883" t="s">
        <v>70</v>
      </c>
      <c r="C151" s="951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885" t="s">
        <v>274</v>
      </c>
      <c r="L151" s="887" t="s">
        <v>275</v>
      </c>
      <c r="M151" s="887" t="s">
        <v>275</v>
      </c>
      <c r="N151" s="887" t="s">
        <v>275</v>
      </c>
      <c r="O151" s="887" t="s">
        <v>275</v>
      </c>
      <c r="P151" s="887" t="s">
        <v>275</v>
      </c>
      <c r="Q151" s="887" t="s">
        <v>51</v>
      </c>
    </row>
    <row r="152" spans="1:17" ht="15.75" customHeight="1">
      <c r="A152" s="909"/>
      <c r="B152" s="773"/>
      <c r="C152" s="886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941"/>
      <c r="L152" s="1351"/>
      <c r="M152" s="1351"/>
      <c r="N152" s="1351"/>
      <c r="O152" s="1351"/>
      <c r="P152" s="1351"/>
      <c r="Q152" s="932"/>
    </row>
    <row r="153" spans="1:17" ht="21" customHeight="1">
      <c r="A153" s="910"/>
      <c r="B153" s="774"/>
      <c r="C153" s="952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942"/>
      <c r="L153" s="969"/>
      <c r="M153" s="969"/>
      <c r="N153" s="969"/>
      <c r="O153" s="969"/>
      <c r="P153" s="969"/>
      <c r="Q153" s="933"/>
    </row>
    <row r="154" spans="1:17" ht="14.25" customHeight="1">
      <c r="A154" s="837" t="s">
        <v>120</v>
      </c>
      <c r="B154" s="883" t="s">
        <v>133</v>
      </c>
      <c r="C154" s="951" t="s">
        <v>161</v>
      </c>
      <c r="D154" s="976" t="s">
        <v>221</v>
      </c>
      <c r="E154" s="1369">
        <f aca="true" t="shared" si="35" ref="E154:J154">SUM(E158,E164)</f>
        <v>715.4</v>
      </c>
      <c r="F154" s="1369">
        <f t="shared" si="35"/>
        <v>607.4</v>
      </c>
      <c r="G154" s="1369">
        <f t="shared" si="35"/>
        <v>27</v>
      </c>
      <c r="H154" s="1369">
        <f t="shared" si="35"/>
        <v>27</v>
      </c>
      <c r="I154" s="1369">
        <f t="shared" si="35"/>
        <v>27</v>
      </c>
      <c r="J154" s="1369">
        <f t="shared" si="35"/>
        <v>27</v>
      </c>
      <c r="K154" s="885" t="s">
        <v>263</v>
      </c>
      <c r="L154" s="887" t="s">
        <v>236</v>
      </c>
      <c r="M154" s="887" t="s">
        <v>236</v>
      </c>
      <c r="N154" s="887" t="s">
        <v>236</v>
      </c>
      <c r="O154" s="887" t="s">
        <v>236</v>
      </c>
      <c r="P154" s="887" t="s">
        <v>236</v>
      </c>
      <c r="Q154" s="887" t="s">
        <v>51</v>
      </c>
    </row>
    <row r="155" spans="1:17" ht="11.25" customHeight="1">
      <c r="A155" s="838"/>
      <c r="B155" s="956"/>
      <c r="C155" s="982"/>
      <c r="D155" s="978"/>
      <c r="E155" s="1369"/>
      <c r="F155" s="1369"/>
      <c r="G155" s="1369"/>
      <c r="H155" s="1369"/>
      <c r="I155" s="1369"/>
      <c r="J155" s="1369"/>
      <c r="K155" s="1355"/>
      <c r="L155" s="1351"/>
      <c r="M155" s="1351"/>
      <c r="N155" s="1351"/>
      <c r="O155" s="1351"/>
      <c r="P155" s="1351"/>
      <c r="Q155" s="1351"/>
    </row>
    <row r="156" spans="1:17" ht="11.25" customHeight="1">
      <c r="A156" s="777"/>
      <c r="B156" s="774"/>
      <c r="C156" s="766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942"/>
      <c r="L156" s="969"/>
      <c r="M156" s="969"/>
      <c r="N156" s="969"/>
      <c r="O156" s="969"/>
      <c r="P156" s="969"/>
      <c r="Q156" s="933"/>
    </row>
    <row r="157" spans="1:17" ht="21" customHeight="1">
      <c r="A157" s="837" t="s">
        <v>121</v>
      </c>
      <c r="B157" s="883" t="s">
        <v>68</v>
      </c>
      <c r="C157" s="951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885" t="s">
        <v>279</v>
      </c>
      <c r="L157" s="1370" t="s">
        <v>276</v>
      </c>
      <c r="M157" s="1370" t="s">
        <v>277</v>
      </c>
      <c r="N157" s="1370" t="s">
        <v>278</v>
      </c>
      <c r="O157" s="1370" t="s">
        <v>278</v>
      </c>
      <c r="P157" s="1370" t="s">
        <v>278</v>
      </c>
      <c r="Q157" s="887" t="s">
        <v>51</v>
      </c>
    </row>
    <row r="158" spans="1:17" ht="21" customHeight="1">
      <c r="A158" s="776"/>
      <c r="B158" s="773"/>
      <c r="C158" s="765"/>
      <c r="D158" s="919" t="s">
        <v>5</v>
      </c>
      <c r="E158" s="917">
        <f>SUM(F158:H159)</f>
        <v>542.4</v>
      </c>
      <c r="F158" s="917">
        <f>250+292.4</f>
        <v>542.4</v>
      </c>
      <c r="G158" s="917">
        <v>0</v>
      </c>
      <c r="H158" s="917">
        <v>0</v>
      </c>
      <c r="I158" s="917">
        <v>0</v>
      </c>
      <c r="J158" s="917">
        <v>0</v>
      </c>
      <c r="K158" s="941"/>
      <c r="L158" s="1351"/>
      <c r="M158" s="1351"/>
      <c r="N158" s="1351"/>
      <c r="O158" s="1351"/>
      <c r="P158" s="1351"/>
      <c r="Q158" s="932"/>
    </row>
    <row r="159" spans="1:17" ht="6.75" customHeight="1">
      <c r="A159" s="777"/>
      <c r="B159" s="774"/>
      <c r="C159" s="766"/>
      <c r="D159" s="923"/>
      <c r="E159" s="918"/>
      <c r="F159" s="918"/>
      <c r="G159" s="918"/>
      <c r="H159" s="918"/>
      <c r="I159" s="918"/>
      <c r="J159" s="918"/>
      <c r="K159" s="942"/>
      <c r="L159" s="969"/>
      <c r="M159" s="969"/>
      <c r="N159" s="969"/>
      <c r="O159" s="969"/>
      <c r="P159" s="969"/>
      <c r="Q159" s="933"/>
    </row>
    <row r="160" spans="1:17" ht="24" customHeight="1">
      <c r="A160" s="837" t="s">
        <v>122</v>
      </c>
      <c r="B160" s="883" t="s">
        <v>153</v>
      </c>
      <c r="C160" s="951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885" t="s">
        <v>281</v>
      </c>
      <c r="L160" s="1370" t="s">
        <v>280</v>
      </c>
      <c r="M160" s="1370" t="s">
        <v>282</v>
      </c>
      <c r="N160" s="1370" t="s">
        <v>283</v>
      </c>
      <c r="O160" s="1370" t="s">
        <v>283</v>
      </c>
      <c r="P160" s="1370" t="s">
        <v>283</v>
      </c>
      <c r="Q160" s="887" t="s">
        <v>51</v>
      </c>
    </row>
    <row r="161" spans="1:17" ht="17.25" customHeight="1">
      <c r="A161" s="776"/>
      <c r="B161" s="773"/>
      <c r="C161" s="765"/>
      <c r="D161" s="919" t="s">
        <v>5</v>
      </c>
      <c r="E161" s="917">
        <f>SUM(F161:H162)</f>
        <v>0</v>
      </c>
      <c r="F161" s="917">
        <f>20-20</f>
        <v>0</v>
      </c>
      <c r="G161" s="917">
        <v>0</v>
      </c>
      <c r="H161" s="917">
        <v>0</v>
      </c>
      <c r="I161" s="917">
        <v>0</v>
      </c>
      <c r="J161" s="917">
        <v>0</v>
      </c>
      <c r="K161" s="941"/>
      <c r="L161" s="1352"/>
      <c r="M161" s="1352"/>
      <c r="N161" s="1352"/>
      <c r="O161" s="1352"/>
      <c r="P161" s="1352"/>
      <c r="Q161" s="932"/>
    </row>
    <row r="162" spans="1:17" ht="12" customHeight="1">
      <c r="A162" s="777"/>
      <c r="B162" s="774"/>
      <c r="C162" s="766"/>
      <c r="D162" s="923"/>
      <c r="E162" s="918"/>
      <c r="F162" s="918"/>
      <c r="G162" s="918"/>
      <c r="H162" s="918"/>
      <c r="I162" s="918"/>
      <c r="J162" s="918"/>
      <c r="K162" s="942"/>
      <c r="L162" s="1353"/>
      <c r="M162" s="1353"/>
      <c r="N162" s="1353"/>
      <c r="O162" s="1353"/>
      <c r="P162" s="1353"/>
      <c r="Q162" s="933"/>
    </row>
    <row r="163" spans="1:17" ht="21.75" customHeight="1">
      <c r="A163" s="837" t="s">
        <v>123</v>
      </c>
      <c r="B163" s="883" t="s">
        <v>69</v>
      </c>
      <c r="C163" s="951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885" t="s">
        <v>284</v>
      </c>
      <c r="L163" s="1370" t="s">
        <v>236</v>
      </c>
      <c r="M163" s="1370" t="s">
        <v>236</v>
      </c>
      <c r="N163" s="1370" t="s">
        <v>236</v>
      </c>
      <c r="O163" s="1370" t="s">
        <v>236</v>
      </c>
      <c r="P163" s="1370" t="s">
        <v>236</v>
      </c>
      <c r="Q163" s="887" t="s">
        <v>51</v>
      </c>
    </row>
    <row r="164" spans="1:17" ht="21.75" customHeight="1">
      <c r="A164" s="776"/>
      <c r="B164" s="773"/>
      <c r="C164" s="765"/>
      <c r="D164" s="919" t="s">
        <v>5</v>
      </c>
      <c r="E164" s="917">
        <f>SUM(F164:J164)</f>
        <v>173</v>
      </c>
      <c r="F164" s="917">
        <v>65</v>
      </c>
      <c r="G164" s="917">
        <v>27</v>
      </c>
      <c r="H164" s="917">
        <v>27</v>
      </c>
      <c r="I164" s="917">
        <v>27</v>
      </c>
      <c r="J164" s="917">
        <v>27</v>
      </c>
      <c r="K164" s="942"/>
      <c r="L164" s="933"/>
      <c r="M164" s="933"/>
      <c r="N164" s="933"/>
      <c r="O164" s="933"/>
      <c r="P164" s="933"/>
      <c r="Q164" s="932"/>
    </row>
    <row r="165" spans="1:17" ht="23.25" customHeight="1" thickBot="1">
      <c r="A165" s="777"/>
      <c r="B165" s="774"/>
      <c r="C165" s="766"/>
      <c r="D165" s="937"/>
      <c r="E165" s="920"/>
      <c r="F165" s="920"/>
      <c r="G165" s="920"/>
      <c r="H165" s="920"/>
      <c r="I165" s="920"/>
      <c r="J165" s="920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933"/>
    </row>
    <row r="166" spans="1:17" ht="12" customHeight="1">
      <c r="A166" s="926"/>
      <c r="B166" s="854" t="s">
        <v>124</v>
      </c>
      <c r="C166" s="927"/>
      <c r="D166" s="36" t="s">
        <v>11</v>
      </c>
      <c r="E166" s="902">
        <f aca="true" t="shared" si="40" ref="E166:J166">SUM(E168:E169)</f>
        <v>13422.399999999998</v>
      </c>
      <c r="F166" s="902">
        <f t="shared" si="40"/>
        <v>3196.6</v>
      </c>
      <c r="G166" s="902">
        <f t="shared" si="40"/>
        <v>3001.1000000000004</v>
      </c>
      <c r="H166" s="907">
        <f t="shared" si="40"/>
        <v>2415.9</v>
      </c>
      <c r="I166" s="907">
        <f t="shared" si="40"/>
        <v>2404.4</v>
      </c>
      <c r="J166" s="907">
        <f t="shared" si="40"/>
        <v>2404.4</v>
      </c>
      <c r="K166" s="1371"/>
      <c r="L166" s="1364"/>
      <c r="M166" s="1364"/>
      <c r="N166" s="1364"/>
      <c r="O166" s="1364"/>
      <c r="P166" s="1364"/>
      <c r="Q166" s="926"/>
    </row>
    <row r="167" spans="1:17" ht="12" customHeight="1">
      <c r="A167" s="926"/>
      <c r="B167" s="854"/>
      <c r="C167" s="927"/>
      <c r="D167" s="37" t="s">
        <v>12</v>
      </c>
      <c r="E167" s="903"/>
      <c r="F167" s="903"/>
      <c r="G167" s="903"/>
      <c r="H167" s="908"/>
      <c r="I167" s="908"/>
      <c r="J167" s="908"/>
      <c r="K167" s="1331"/>
      <c r="L167" s="889"/>
      <c r="M167" s="889"/>
      <c r="N167" s="889"/>
      <c r="O167" s="889"/>
      <c r="P167" s="889"/>
      <c r="Q167" s="926"/>
    </row>
    <row r="168" spans="1:17" ht="12" customHeight="1">
      <c r="A168" s="926"/>
      <c r="B168" s="854"/>
      <c r="C168" s="927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331"/>
      <c r="L168" s="889"/>
      <c r="M168" s="889"/>
      <c r="N168" s="889"/>
      <c r="O168" s="889"/>
      <c r="P168" s="889"/>
      <c r="Q168" s="926"/>
    </row>
    <row r="169" spans="1:17" ht="12" customHeight="1" thickBot="1">
      <c r="A169" s="926"/>
      <c r="B169" s="854"/>
      <c r="C169" s="927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372"/>
      <c r="L169" s="889"/>
      <c r="M169" s="889"/>
      <c r="N169" s="889"/>
      <c r="O169" s="889"/>
      <c r="P169" s="889"/>
      <c r="Q169" s="926"/>
    </row>
    <row r="170" spans="1:17" ht="15.75" customHeight="1">
      <c r="A170" s="927"/>
      <c r="B170" s="1190" t="s">
        <v>13</v>
      </c>
      <c r="C170" s="1192"/>
      <c r="D170" s="1375" t="s">
        <v>220</v>
      </c>
      <c r="E170" s="1377">
        <f aca="true" t="shared" si="41" ref="E170:J170">SUM(E172:E173)</f>
        <v>802469.6</v>
      </c>
      <c r="F170" s="1378">
        <f t="shared" si="41"/>
        <v>173578.2</v>
      </c>
      <c r="G170" s="1377">
        <f>SUM(G172:G173)</f>
        <v>154213.1</v>
      </c>
      <c r="H170" s="1379">
        <f t="shared" si="41"/>
        <v>149396.9</v>
      </c>
      <c r="I170" s="1379">
        <f t="shared" si="41"/>
        <v>162640.7</v>
      </c>
      <c r="J170" s="1379">
        <f t="shared" si="41"/>
        <v>162640.7</v>
      </c>
      <c r="K170" s="891"/>
      <c r="L170" s="889"/>
      <c r="M170" s="889"/>
      <c r="N170" s="889"/>
      <c r="O170" s="889"/>
      <c r="P170" s="889"/>
      <c r="Q170" s="926"/>
    </row>
    <row r="171" spans="1:17" ht="15.75" customHeight="1" thickBot="1">
      <c r="A171" s="927"/>
      <c r="B171" s="1191"/>
      <c r="C171" s="1193"/>
      <c r="D171" s="1376"/>
      <c r="E171" s="1377"/>
      <c r="F171" s="1378"/>
      <c r="G171" s="1377"/>
      <c r="H171" s="1379"/>
      <c r="I171" s="1379"/>
      <c r="J171" s="1379"/>
      <c r="K171" s="891"/>
      <c r="L171" s="889"/>
      <c r="M171" s="889"/>
      <c r="N171" s="889"/>
      <c r="O171" s="889"/>
      <c r="P171" s="889"/>
      <c r="Q171" s="926"/>
    </row>
    <row r="172" spans="1:17" ht="15.75" customHeight="1" thickBot="1">
      <c r="A172" s="927"/>
      <c r="B172" s="1191"/>
      <c r="C172" s="1193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891"/>
      <c r="L172" s="889"/>
      <c r="M172" s="889"/>
      <c r="N172" s="889"/>
      <c r="O172" s="889"/>
      <c r="P172" s="889"/>
      <c r="Q172" s="926"/>
    </row>
    <row r="173" spans="1:17" ht="15.75" customHeight="1" thickBot="1">
      <c r="A173" s="927"/>
      <c r="B173" s="1373"/>
      <c r="C173" s="1374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891"/>
      <c r="L173" s="889"/>
      <c r="M173" s="889"/>
      <c r="N173" s="889"/>
      <c r="O173" s="889"/>
      <c r="P173" s="889"/>
      <c r="Q173" s="926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  <mergeCell ref="G170:G171"/>
    <mergeCell ref="H170:H171"/>
    <mergeCell ref="I170:I171"/>
    <mergeCell ref="J170:J171"/>
    <mergeCell ref="K170:K173"/>
    <mergeCell ref="L170:L173"/>
    <mergeCell ref="A170:A173"/>
    <mergeCell ref="B170:B173"/>
    <mergeCell ref="C170:C173"/>
    <mergeCell ref="D170:D171"/>
    <mergeCell ref="E170:E171"/>
    <mergeCell ref="F170:F171"/>
    <mergeCell ref="H166:H167"/>
    <mergeCell ref="I166:I167"/>
    <mergeCell ref="J166:J167"/>
    <mergeCell ref="K166:K169"/>
    <mergeCell ref="L166:L169"/>
    <mergeCell ref="M166:M169"/>
    <mergeCell ref="A166:A169"/>
    <mergeCell ref="B166:B169"/>
    <mergeCell ref="C166:C169"/>
    <mergeCell ref="E166:E167"/>
    <mergeCell ref="F166:F167"/>
    <mergeCell ref="G166:G167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3:A165"/>
    <mergeCell ref="B163:B165"/>
    <mergeCell ref="C163:C165"/>
    <mergeCell ref="K163:K164"/>
    <mergeCell ref="L163:L164"/>
    <mergeCell ref="M163:M164"/>
    <mergeCell ref="J164:J165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0:A162"/>
    <mergeCell ref="B160:B162"/>
    <mergeCell ref="C160:C162"/>
    <mergeCell ref="K160:K162"/>
    <mergeCell ref="L160:L162"/>
    <mergeCell ref="M160:M162"/>
    <mergeCell ref="J161:J162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57:A159"/>
    <mergeCell ref="B157:B159"/>
    <mergeCell ref="C157:C159"/>
    <mergeCell ref="K157:K159"/>
    <mergeCell ref="L157:L159"/>
    <mergeCell ref="M157:M159"/>
    <mergeCell ref="J158:J159"/>
    <mergeCell ref="L154:L156"/>
    <mergeCell ref="M154:M156"/>
    <mergeCell ref="N154:N156"/>
    <mergeCell ref="O154:O156"/>
    <mergeCell ref="P154:P156"/>
    <mergeCell ref="Q154:Q156"/>
    <mergeCell ref="F154:F155"/>
    <mergeCell ref="G154:G155"/>
    <mergeCell ref="H154:H155"/>
    <mergeCell ref="I154:I155"/>
    <mergeCell ref="J154:J155"/>
    <mergeCell ref="K154:K156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A148:A149"/>
    <mergeCell ref="B148:B149"/>
    <mergeCell ref="D148:D149"/>
    <mergeCell ref="E148:E149"/>
    <mergeCell ref="F148:F149"/>
    <mergeCell ref="G148:G149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I142:I143"/>
    <mergeCell ref="J142:J143"/>
    <mergeCell ref="K142:K145"/>
    <mergeCell ref="L142:L145"/>
    <mergeCell ref="M142:M145"/>
    <mergeCell ref="N142:N145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L137:L141"/>
    <mergeCell ref="M137:M141"/>
    <mergeCell ref="N137:N141"/>
    <mergeCell ref="O137:O141"/>
    <mergeCell ref="P137:P141"/>
    <mergeCell ref="Q137:Q141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G129:G131"/>
    <mergeCell ref="H129:H131"/>
    <mergeCell ref="I129:I131"/>
    <mergeCell ref="J129:J131"/>
    <mergeCell ref="K129:K133"/>
    <mergeCell ref="L129:L133"/>
    <mergeCell ref="A129:A133"/>
    <mergeCell ref="B129:B133"/>
    <mergeCell ref="C129:C133"/>
    <mergeCell ref="D129:D131"/>
    <mergeCell ref="E129:E131"/>
    <mergeCell ref="F129:F131"/>
    <mergeCell ref="L126:L127"/>
    <mergeCell ref="M126:M127"/>
    <mergeCell ref="N126:N127"/>
    <mergeCell ref="O126:O127"/>
    <mergeCell ref="P126:P127"/>
    <mergeCell ref="Q126:Q127"/>
    <mergeCell ref="F126:F127"/>
    <mergeCell ref="G126:G127"/>
    <mergeCell ref="H126:H127"/>
    <mergeCell ref="I126:I127"/>
    <mergeCell ref="J126:J127"/>
    <mergeCell ref="K126:K127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F124:F125"/>
    <mergeCell ref="L122:L123"/>
    <mergeCell ref="M122:M123"/>
    <mergeCell ref="N122:N123"/>
    <mergeCell ref="O122:O123"/>
    <mergeCell ref="P122:P123"/>
    <mergeCell ref="Q122:Q123"/>
    <mergeCell ref="I120:I121"/>
    <mergeCell ref="J120:J121"/>
    <mergeCell ref="A122:A123"/>
    <mergeCell ref="B122:B123"/>
    <mergeCell ref="C122:C123"/>
    <mergeCell ref="K122:K123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G113:G116"/>
    <mergeCell ref="H113:H116"/>
    <mergeCell ref="I113:I116"/>
    <mergeCell ref="J113:J116"/>
    <mergeCell ref="K113:K118"/>
    <mergeCell ref="L113:L118"/>
    <mergeCell ref="A113:A118"/>
    <mergeCell ref="B113:B118"/>
    <mergeCell ref="C113:C118"/>
    <mergeCell ref="D113:D116"/>
    <mergeCell ref="E113:E116"/>
    <mergeCell ref="F113:F116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A102:A104"/>
    <mergeCell ref="B102:B104"/>
    <mergeCell ref="C102:C104"/>
    <mergeCell ref="K102:K104"/>
    <mergeCell ref="L102:L104"/>
    <mergeCell ref="M102:M104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97:A101"/>
    <mergeCell ref="B97:B101"/>
    <mergeCell ref="C97:C101"/>
    <mergeCell ref="K97:K101"/>
    <mergeCell ref="L97:L101"/>
    <mergeCell ref="M97:M101"/>
    <mergeCell ref="J98:J101"/>
    <mergeCell ref="L94:L96"/>
    <mergeCell ref="M94:M96"/>
    <mergeCell ref="N94:N96"/>
    <mergeCell ref="O94:O96"/>
    <mergeCell ref="P94:P96"/>
    <mergeCell ref="Q94:Q96"/>
    <mergeCell ref="F94:F95"/>
    <mergeCell ref="G94:G95"/>
    <mergeCell ref="H94:H95"/>
    <mergeCell ref="I94:I95"/>
    <mergeCell ref="J94:J95"/>
    <mergeCell ref="K94:K96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G86:G89"/>
    <mergeCell ref="H86:H89"/>
    <mergeCell ref="I86:I89"/>
    <mergeCell ref="J86:J89"/>
    <mergeCell ref="K86:K91"/>
    <mergeCell ref="L86:L91"/>
    <mergeCell ref="A86:A91"/>
    <mergeCell ref="B86:B91"/>
    <mergeCell ref="C86:C91"/>
    <mergeCell ref="D86:D89"/>
    <mergeCell ref="E86:E89"/>
    <mergeCell ref="F86:F89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K81:K84"/>
    <mergeCell ref="L81:L84"/>
    <mergeCell ref="A81:A84"/>
    <mergeCell ref="B81:B84"/>
    <mergeCell ref="C81:C84"/>
    <mergeCell ref="D81:D82"/>
    <mergeCell ref="E81:E82"/>
    <mergeCell ref="F81:F82"/>
    <mergeCell ref="L78:L80"/>
    <mergeCell ref="M78:M80"/>
    <mergeCell ref="N78:N80"/>
    <mergeCell ref="O78:O80"/>
    <mergeCell ref="P78:P80"/>
    <mergeCell ref="Q78:Q80"/>
    <mergeCell ref="I76:I77"/>
    <mergeCell ref="J76:J77"/>
    <mergeCell ref="A78:A80"/>
    <mergeCell ref="B78:B80"/>
    <mergeCell ref="C78:C80"/>
    <mergeCell ref="K78:K80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G69:G72"/>
    <mergeCell ref="H69:H72"/>
    <mergeCell ref="I69:I72"/>
    <mergeCell ref="J69:J72"/>
    <mergeCell ref="K69:K74"/>
    <mergeCell ref="L69:L74"/>
    <mergeCell ref="A69:A74"/>
    <mergeCell ref="B69:B74"/>
    <mergeCell ref="C69:C74"/>
    <mergeCell ref="D69:D72"/>
    <mergeCell ref="E69:E72"/>
    <mergeCell ref="F69:F72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O64:O65"/>
    <mergeCell ref="P64:P65"/>
    <mergeCell ref="H62:H63"/>
    <mergeCell ref="I62:I63"/>
    <mergeCell ref="J62:J63"/>
    <mergeCell ref="O61:O63"/>
    <mergeCell ref="P61:P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G53:G55"/>
    <mergeCell ref="H53:H55"/>
    <mergeCell ref="I53:I55"/>
    <mergeCell ref="J53:J55"/>
    <mergeCell ref="K53:K57"/>
    <mergeCell ref="L53:L57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A44:A46"/>
    <mergeCell ref="B44:B46"/>
    <mergeCell ref="C44:C46"/>
    <mergeCell ref="K44:K46"/>
    <mergeCell ref="A47:A49"/>
    <mergeCell ref="B47:B49"/>
    <mergeCell ref="C47:C49"/>
    <mergeCell ref="K47:K49"/>
    <mergeCell ref="L42:L43"/>
    <mergeCell ref="M42:M43"/>
    <mergeCell ref="N42:N43"/>
    <mergeCell ref="O42:O43"/>
    <mergeCell ref="P42:P43"/>
    <mergeCell ref="Q42:Q43"/>
    <mergeCell ref="E42:E43"/>
    <mergeCell ref="F42:F43"/>
    <mergeCell ref="G42:G43"/>
    <mergeCell ref="H42:H43"/>
    <mergeCell ref="I42:I43"/>
    <mergeCell ref="J42:J43"/>
    <mergeCell ref="L40:L41"/>
    <mergeCell ref="M40:M41"/>
    <mergeCell ref="N40:N41"/>
    <mergeCell ref="O40:O41"/>
    <mergeCell ref="P40:P41"/>
    <mergeCell ref="Q40:Q41"/>
    <mergeCell ref="E40:E41"/>
    <mergeCell ref="F40:F41"/>
    <mergeCell ref="G40:G41"/>
    <mergeCell ref="H40:H41"/>
    <mergeCell ref="I40:I41"/>
    <mergeCell ref="J40:J41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H34:H35"/>
    <mergeCell ref="I34:I35"/>
    <mergeCell ref="J34:J35"/>
    <mergeCell ref="K34:K37"/>
    <mergeCell ref="L34:L37"/>
    <mergeCell ref="M34:M37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K24:K27"/>
    <mergeCell ref="L24:L27"/>
    <mergeCell ref="G22:G23"/>
    <mergeCell ref="H22:H23"/>
    <mergeCell ref="I22:I23"/>
    <mergeCell ref="J22:J23"/>
    <mergeCell ref="A24:A27"/>
    <mergeCell ref="B24:B27"/>
    <mergeCell ref="C24:C27"/>
    <mergeCell ref="D24:D25"/>
    <mergeCell ref="E24:E25"/>
    <mergeCell ref="F24:F25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K14:K17"/>
    <mergeCell ref="L14:L17"/>
    <mergeCell ref="A14:A17"/>
    <mergeCell ref="B14:B17"/>
    <mergeCell ref="C14:C17"/>
    <mergeCell ref="D14:D15"/>
    <mergeCell ref="E14:E15"/>
    <mergeCell ref="F14:F15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753" t="s">
        <v>203</v>
      </c>
      <c r="B1" s="731"/>
      <c r="C1" s="731"/>
      <c r="D1" s="731"/>
      <c r="E1" s="731"/>
      <c r="F1" s="731"/>
      <c r="G1" s="731"/>
      <c r="H1" s="731"/>
      <c r="I1" s="731"/>
      <c r="J1" s="54"/>
      <c r="K1" s="54"/>
      <c r="L1" s="54"/>
    </row>
    <row r="2" spans="1:12" ht="21.75" customHeight="1">
      <c r="A2" s="754" t="s">
        <v>303</v>
      </c>
      <c r="B2" s="755"/>
      <c r="C2" s="755"/>
      <c r="D2" s="755"/>
      <c r="E2" s="755"/>
      <c r="F2" s="755"/>
      <c r="G2" s="755"/>
      <c r="H2" s="755"/>
      <c r="I2" s="755"/>
      <c r="J2" s="54"/>
      <c r="K2" s="54"/>
      <c r="L2" s="54"/>
    </row>
    <row r="3" spans="1:12" ht="26.25" customHeight="1">
      <c r="A3" s="756"/>
      <c r="B3" s="757"/>
      <c r="C3" s="757"/>
      <c r="D3" s="757"/>
      <c r="E3" s="757"/>
      <c r="F3" s="757"/>
      <c r="G3" s="757"/>
      <c r="H3" s="757"/>
      <c r="I3" s="757"/>
      <c r="J3" s="54"/>
      <c r="K3" s="54"/>
      <c r="L3" s="54"/>
    </row>
    <row r="4" spans="1:12" ht="9.75" customHeight="1">
      <c r="A4" s="752"/>
      <c r="B4" s="752"/>
      <c r="C4" s="752"/>
      <c r="D4" s="694" t="s">
        <v>54</v>
      </c>
      <c r="E4" s="694">
        <v>2014</v>
      </c>
      <c r="F4" s="694">
        <v>2015</v>
      </c>
      <c r="G4" s="694">
        <v>2016</v>
      </c>
      <c r="H4" s="694">
        <v>2017</v>
      </c>
      <c r="I4" s="694">
        <v>2018</v>
      </c>
      <c r="J4" s="54"/>
      <c r="K4" s="54"/>
      <c r="L4" s="54"/>
    </row>
    <row r="5" spans="1:9" ht="6.75" customHeight="1">
      <c r="A5" s="752"/>
      <c r="B5" s="752"/>
      <c r="C5" s="752"/>
      <c r="D5" s="694"/>
      <c r="E5" s="694"/>
      <c r="F5" s="694"/>
      <c r="G5" s="694"/>
      <c r="H5" s="694"/>
      <c r="I5" s="694"/>
    </row>
    <row r="6" spans="1:12" ht="15" customHeight="1">
      <c r="A6" s="743" t="s">
        <v>52</v>
      </c>
      <c r="B6" s="744"/>
      <c r="C6" s="744"/>
      <c r="D6" s="744"/>
      <c r="E6" s="744"/>
      <c r="F6" s="744"/>
      <c r="G6" s="745"/>
      <c r="H6" s="55"/>
      <c r="I6" s="55"/>
      <c r="J6" s="55"/>
      <c r="K6" s="55"/>
      <c r="L6" s="55"/>
    </row>
    <row r="7" spans="1:12" s="11" customFormat="1" ht="15" customHeight="1">
      <c r="A7" s="741">
        <v>2</v>
      </c>
      <c r="B7" s="742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741"/>
      <c r="B8" s="742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741"/>
      <c r="B9" s="742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746" t="s">
        <v>53</v>
      </c>
      <c r="B10" s="747"/>
      <c r="C10" s="747"/>
      <c r="D10" s="747"/>
      <c r="E10" s="747"/>
      <c r="F10" s="747"/>
      <c r="G10" s="748"/>
      <c r="H10" s="55"/>
      <c r="I10" s="55"/>
      <c r="J10" s="55"/>
      <c r="K10" s="55"/>
      <c r="L10" s="55"/>
    </row>
    <row r="11" spans="1:12" s="11" customFormat="1" ht="14.25" customHeight="1">
      <c r="A11" s="741">
        <v>3</v>
      </c>
      <c r="B11" s="742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741"/>
      <c r="B12" s="742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746" t="s">
        <v>55</v>
      </c>
      <c r="B13" s="747"/>
      <c r="C13" s="747"/>
      <c r="D13" s="747"/>
      <c r="E13" s="747"/>
      <c r="F13" s="747"/>
      <c r="G13" s="748"/>
    </row>
    <row r="14" spans="1:12" s="11" customFormat="1" ht="13.5" customHeight="1">
      <c r="A14" s="741">
        <v>4</v>
      </c>
      <c r="B14" s="742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741"/>
      <c r="B15" s="742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741"/>
      <c r="B16" s="742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746" t="s">
        <v>56</v>
      </c>
      <c r="B17" s="747"/>
      <c r="C17" s="747"/>
      <c r="D17" s="747"/>
      <c r="E17" s="747"/>
      <c r="F17" s="747"/>
      <c r="G17" s="748"/>
    </row>
    <row r="18" spans="1:12" s="11" customFormat="1" ht="13.5" customHeight="1">
      <c r="A18" s="741">
        <v>5</v>
      </c>
      <c r="B18" s="742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741"/>
      <c r="B19" s="742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749"/>
      <c r="B20" s="750"/>
      <c r="C20" s="750"/>
      <c r="D20" s="750"/>
      <c r="E20" s="750"/>
      <c r="F20" s="750"/>
      <c r="G20" s="751"/>
      <c r="H20" s="56"/>
      <c r="I20" s="56"/>
      <c r="J20" s="56"/>
      <c r="K20" s="56"/>
      <c r="L20" s="56"/>
    </row>
    <row r="21" spans="1:9" s="62" customFormat="1" ht="27.75" customHeight="1">
      <c r="A21" s="740" t="s">
        <v>150</v>
      </c>
      <c r="B21" s="740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740"/>
      <c r="B22" s="740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740"/>
      <c r="B23" s="740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746" t="s">
        <v>151</v>
      </c>
      <c r="B24" s="747"/>
      <c r="C24" s="747"/>
      <c r="D24" s="747"/>
      <c r="E24" s="747"/>
      <c r="F24" s="747"/>
      <c r="G24" s="748"/>
    </row>
    <row r="25" spans="1:12" s="11" customFormat="1" ht="13.5" customHeight="1">
      <c r="A25" s="741">
        <v>6</v>
      </c>
      <c r="B25" s="742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741"/>
      <c r="B26" s="742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741"/>
      <c r="B27" s="742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746" t="s">
        <v>152</v>
      </c>
      <c r="B28" s="747"/>
      <c r="C28" s="747"/>
      <c r="D28" s="747"/>
      <c r="E28" s="747"/>
      <c r="F28" s="747"/>
      <c r="G28" s="748"/>
    </row>
    <row r="29" spans="1:12" s="11" customFormat="1" ht="13.5" customHeight="1">
      <c r="A29" s="741">
        <v>7</v>
      </c>
      <c r="B29" s="742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741"/>
      <c r="B30" s="742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746" t="s">
        <v>154</v>
      </c>
      <c r="B31" s="747"/>
      <c r="C31" s="747"/>
      <c r="D31" s="747"/>
      <c r="E31" s="747"/>
      <c r="F31" s="747"/>
      <c r="G31" s="748"/>
    </row>
    <row r="32" spans="1:12" s="11" customFormat="1" ht="13.5" customHeight="1">
      <c r="A32" s="741">
        <v>8</v>
      </c>
      <c r="B32" s="742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741"/>
      <c r="B33" s="742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738" t="s">
        <v>134</v>
      </c>
      <c r="B35" s="739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738"/>
      <c r="B36" s="739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738"/>
      <c r="B37" s="739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  <mergeCell ref="A28:G28"/>
    <mergeCell ref="A7:A9"/>
    <mergeCell ref="A17:G17"/>
    <mergeCell ref="A11:A12"/>
    <mergeCell ref="B11:B12"/>
    <mergeCell ref="A10:G10"/>
    <mergeCell ref="A24:G24"/>
    <mergeCell ref="A4:C5"/>
    <mergeCell ref="D4:D5"/>
    <mergeCell ref="F4:F5"/>
    <mergeCell ref="G4:G5"/>
    <mergeCell ref="A25:A27"/>
    <mergeCell ref="B25:B27"/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77"/>
  <sheetViews>
    <sheetView zoomScaleSheetLayoutView="100" workbookViewId="0" topLeftCell="A1">
      <pane ySplit="8" topLeftCell="A57" activePane="bottomLeft" state="frozen"/>
      <selection pane="topLeft" activeCell="A1" sqref="A1"/>
      <selection pane="bottomLeft" activeCell="J58" sqref="J58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9.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840" t="s">
        <v>498</v>
      </c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</row>
    <row r="2" spans="1:19" ht="23.25" customHeight="1">
      <c r="A2" s="9"/>
      <c r="B2" s="9"/>
      <c r="C2" s="50"/>
      <c r="D2" s="35"/>
      <c r="E2" s="35"/>
      <c r="F2" s="35"/>
      <c r="G2" s="595"/>
      <c r="H2" s="595"/>
      <c r="I2" s="595"/>
      <c r="J2" s="595"/>
      <c r="K2" s="595"/>
      <c r="L2" s="846" t="s">
        <v>470</v>
      </c>
      <c r="M2" s="846"/>
      <c r="N2" s="846"/>
      <c r="O2" s="846"/>
      <c r="P2" s="846"/>
      <c r="Q2" s="846"/>
      <c r="R2" s="846"/>
      <c r="S2" s="846"/>
    </row>
    <row r="3" spans="1:19" ht="13.5" customHeight="1">
      <c r="A3" s="9"/>
      <c r="B3" s="9"/>
      <c r="C3" s="50"/>
      <c r="D3" s="35"/>
      <c r="E3" s="35"/>
      <c r="F3" s="35"/>
      <c r="G3" s="595"/>
      <c r="H3" s="595"/>
      <c r="I3" s="850" t="s">
        <v>473</v>
      </c>
      <c r="J3" s="850"/>
      <c r="K3" s="850"/>
      <c r="L3" s="850"/>
      <c r="M3" s="850"/>
      <c r="N3" s="850"/>
      <c r="O3" s="850"/>
      <c r="P3" s="850"/>
      <c r="Q3" s="850"/>
      <c r="R3" s="850"/>
      <c r="S3" s="850"/>
    </row>
    <row r="4" spans="1:19" ht="28.5" customHeight="1">
      <c r="A4" s="841" t="s">
        <v>416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842" t="s">
        <v>16</v>
      </c>
      <c r="B6" s="843" t="s">
        <v>15</v>
      </c>
      <c r="C6" s="842" t="s">
        <v>8</v>
      </c>
      <c r="D6" s="842" t="s">
        <v>9</v>
      </c>
      <c r="E6" s="847" t="s">
        <v>405</v>
      </c>
      <c r="F6" s="848"/>
      <c r="G6" s="848"/>
      <c r="H6" s="848"/>
      <c r="I6" s="848"/>
      <c r="J6" s="848"/>
      <c r="K6" s="849"/>
      <c r="L6" s="847" t="s">
        <v>17</v>
      </c>
      <c r="M6" s="848"/>
      <c r="N6" s="848"/>
      <c r="O6" s="848"/>
      <c r="P6" s="848"/>
      <c r="Q6" s="848"/>
      <c r="R6" s="849"/>
      <c r="S6" s="843" t="s">
        <v>14</v>
      </c>
      <c r="T6" s="778"/>
      <c r="U6" s="507"/>
    </row>
    <row r="7" spans="1:21" s="15" customFormat="1" ht="27" customHeight="1">
      <c r="A7" s="842"/>
      <c r="B7" s="844"/>
      <c r="C7" s="842"/>
      <c r="D7" s="842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467</v>
      </c>
      <c r="K7" s="75" t="s">
        <v>468</v>
      </c>
      <c r="L7" s="75" t="s">
        <v>431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844"/>
      <c r="T7" s="779"/>
      <c r="U7" s="507"/>
    </row>
    <row r="8" spans="1:21" s="10" customFormat="1" ht="11.25" customHeight="1">
      <c r="A8" s="600">
        <v>1</v>
      </c>
      <c r="B8" s="600">
        <v>2</v>
      </c>
      <c r="C8" s="600">
        <v>3</v>
      </c>
      <c r="D8" s="600">
        <v>4</v>
      </c>
      <c r="E8" s="600">
        <v>5</v>
      </c>
      <c r="F8" s="600">
        <v>6</v>
      </c>
      <c r="G8" s="600">
        <v>7</v>
      </c>
      <c r="H8" s="600">
        <v>8</v>
      </c>
      <c r="I8" s="600">
        <v>9</v>
      </c>
      <c r="J8" s="600">
        <v>10</v>
      </c>
      <c r="K8" s="600">
        <v>11</v>
      </c>
      <c r="L8" s="600">
        <v>12</v>
      </c>
      <c r="M8" s="600">
        <v>13</v>
      </c>
      <c r="N8" s="600">
        <v>14</v>
      </c>
      <c r="O8" s="600">
        <v>15</v>
      </c>
      <c r="P8" s="600">
        <v>16</v>
      </c>
      <c r="Q8" s="600">
        <v>17</v>
      </c>
      <c r="R8" s="600">
        <v>18</v>
      </c>
      <c r="S8" s="600">
        <v>19</v>
      </c>
      <c r="T8" s="508"/>
      <c r="U8" s="508"/>
    </row>
    <row r="9" spans="1:21" ht="11.25" customHeight="1">
      <c r="A9" s="600"/>
      <c r="B9" s="853" t="s">
        <v>460</v>
      </c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508"/>
      <c r="U9" s="508"/>
    </row>
    <row r="10" spans="1:21" ht="10.5" customHeight="1">
      <c r="A10" s="20">
        <v>1</v>
      </c>
      <c r="B10" s="854" t="s">
        <v>447</v>
      </c>
      <c r="C10" s="854"/>
      <c r="D10" s="854"/>
      <c r="E10" s="854"/>
      <c r="F10" s="854"/>
      <c r="G10" s="854"/>
      <c r="H10" s="854"/>
      <c r="I10" s="854"/>
      <c r="J10" s="854"/>
      <c r="K10" s="854"/>
      <c r="L10" s="854"/>
      <c r="M10" s="854"/>
      <c r="N10" s="854"/>
      <c r="O10" s="854"/>
      <c r="P10" s="854"/>
      <c r="Q10" s="854"/>
      <c r="R10" s="854"/>
      <c r="S10" s="854"/>
      <c r="T10" s="508"/>
      <c r="U10" s="508"/>
    </row>
    <row r="11" spans="1:21" ht="24" customHeight="1">
      <c r="A11" s="837" t="s">
        <v>19</v>
      </c>
      <c r="B11" s="789" t="s">
        <v>417</v>
      </c>
      <c r="C11" s="758" t="s">
        <v>472</v>
      </c>
      <c r="D11" s="624" t="s">
        <v>418</v>
      </c>
      <c r="E11" s="462">
        <f aca="true" t="shared" si="0" ref="E11:J11">E12+E13</f>
        <v>992581.0190000001</v>
      </c>
      <c r="F11" s="462">
        <f t="shared" si="0"/>
        <v>159033.11</v>
      </c>
      <c r="G11" s="462">
        <f t="shared" si="0"/>
        <v>149865.82</v>
      </c>
      <c r="H11" s="462">
        <f t="shared" si="0"/>
        <v>157261.94</v>
      </c>
      <c r="I11" s="529">
        <f t="shared" si="0"/>
        <v>174925.94</v>
      </c>
      <c r="J11" s="529">
        <f t="shared" si="0"/>
        <v>168883.549</v>
      </c>
      <c r="K11" s="529">
        <f>K12+K13</f>
        <v>182610.66</v>
      </c>
      <c r="L11" s="780"/>
      <c r="M11" s="781"/>
      <c r="N11" s="781"/>
      <c r="O11" s="781"/>
      <c r="P11" s="781"/>
      <c r="Q11" s="781"/>
      <c r="R11" s="781"/>
      <c r="S11" s="782"/>
      <c r="T11" s="642"/>
      <c r="U11" s="508"/>
    </row>
    <row r="12" spans="1:21" ht="16.5" customHeight="1">
      <c r="A12" s="838"/>
      <c r="B12" s="790"/>
      <c r="C12" s="759"/>
      <c r="D12" s="594" t="s">
        <v>5</v>
      </c>
      <c r="E12" s="464">
        <f>SUM(F12:K12)</f>
        <v>312555.367</v>
      </c>
      <c r="F12" s="464">
        <f>F15+F22+F25+F28</f>
        <v>50285.61</v>
      </c>
      <c r="G12" s="464">
        <f>G15+G22+G25+G28</f>
        <v>49531.618</v>
      </c>
      <c r="H12" s="464">
        <f>H15+H22+H25+H28+H31</f>
        <v>47144.82000000001</v>
      </c>
      <c r="I12" s="659">
        <f>I15+I22+I25+I28+I31</f>
        <v>57978.259999999995</v>
      </c>
      <c r="J12" s="659">
        <f>J15+J22+J25+J28+J31</f>
        <v>49666.759000000005</v>
      </c>
      <c r="K12" s="659">
        <f>K15+K22+K25+K28+K31</f>
        <v>57948.30000000001</v>
      </c>
      <c r="L12" s="783"/>
      <c r="M12" s="784"/>
      <c r="N12" s="784"/>
      <c r="O12" s="784"/>
      <c r="P12" s="784"/>
      <c r="Q12" s="784"/>
      <c r="R12" s="784"/>
      <c r="S12" s="785"/>
      <c r="T12" s="679"/>
      <c r="U12" s="508"/>
    </row>
    <row r="13" spans="1:21" ht="14.25" customHeight="1">
      <c r="A13" s="838"/>
      <c r="B13" s="790"/>
      <c r="C13" s="759"/>
      <c r="D13" s="593" t="s">
        <v>6</v>
      </c>
      <c r="E13" s="506">
        <f>SUM(F13:K13)</f>
        <v>680025.652</v>
      </c>
      <c r="F13" s="506">
        <f aca="true" t="shared" si="1" ref="F13:K13">F16+F23+F26+F32</f>
        <v>108747.5</v>
      </c>
      <c r="G13" s="506">
        <f t="shared" si="1"/>
        <v>100334.202</v>
      </c>
      <c r="H13" s="506">
        <f t="shared" si="1"/>
        <v>110117.11999999998</v>
      </c>
      <c r="I13" s="558">
        <f t="shared" si="1"/>
        <v>116947.68</v>
      </c>
      <c r="J13" s="558">
        <f t="shared" si="1"/>
        <v>119216.79</v>
      </c>
      <c r="K13" s="558">
        <f t="shared" si="1"/>
        <v>124662.35999999999</v>
      </c>
      <c r="L13" s="786"/>
      <c r="M13" s="787"/>
      <c r="N13" s="787"/>
      <c r="O13" s="787"/>
      <c r="P13" s="787"/>
      <c r="Q13" s="787"/>
      <c r="R13" s="787"/>
      <c r="S13" s="788"/>
      <c r="T13" s="642"/>
      <c r="U13" s="508"/>
    </row>
    <row r="14" spans="1:21" ht="24.75" customHeight="1">
      <c r="A14" s="839"/>
      <c r="B14" s="790"/>
      <c r="C14" s="759"/>
      <c r="D14" s="541" t="s">
        <v>418</v>
      </c>
      <c r="E14" s="462">
        <f aca="true" t="shared" si="2" ref="E14:K14">E15+E16</f>
        <v>460148.25399999996</v>
      </c>
      <c r="F14" s="462">
        <f t="shared" si="2"/>
        <v>75399.5</v>
      </c>
      <c r="G14" s="463">
        <f t="shared" si="2"/>
        <v>70165.695</v>
      </c>
      <c r="H14" s="462">
        <f t="shared" si="2"/>
        <v>69383.25</v>
      </c>
      <c r="I14" s="462">
        <f t="shared" si="2"/>
        <v>82612.47</v>
      </c>
      <c r="J14" s="462">
        <f t="shared" si="2"/>
        <v>77637.429</v>
      </c>
      <c r="K14" s="462">
        <f t="shared" si="2"/>
        <v>84949.91</v>
      </c>
      <c r="L14" s="542" t="s">
        <v>419</v>
      </c>
      <c r="M14" s="587">
        <v>70</v>
      </c>
      <c r="N14" s="587" t="s">
        <v>501</v>
      </c>
      <c r="O14" s="587" t="s">
        <v>508</v>
      </c>
      <c r="P14" s="587">
        <v>70</v>
      </c>
      <c r="Q14" s="587">
        <v>70</v>
      </c>
      <c r="R14" s="587">
        <v>70</v>
      </c>
      <c r="S14" s="775" t="s">
        <v>445</v>
      </c>
      <c r="T14" s="509"/>
      <c r="U14" s="508"/>
    </row>
    <row r="15" spans="1:21" ht="27" customHeight="1">
      <c r="A15" s="839"/>
      <c r="B15" s="790"/>
      <c r="C15" s="759"/>
      <c r="D15" s="543" t="s">
        <v>5</v>
      </c>
      <c r="E15" s="464">
        <f>SUM(F15:K15)</f>
        <v>156047.522</v>
      </c>
      <c r="F15" s="464">
        <f>300+26384</f>
        <v>26684</v>
      </c>
      <c r="G15" s="465">
        <f>13056.813+11891.99+50+31.58-23.2</f>
        <v>25007.183</v>
      </c>
      <c r="H15" s="464">
        <f>22348.72+224.15+1035+56.28-369.48+57.48+312-20.55-784.16-474.53+474.53+23.83-12.42-11.41</f>
        <v>22859.440000000006</v>
      </c>
      <c r="I15" s="464">
        <f>18087.36+371.51+1697.73+7395.1+1488.52</f>
        <v>29040.219999999998</v>
      </c>
      <c r="J15" s="464">
        <f>14060.754+287.892+1035+8045.233+396.86</f>
        <v>23825.739</v>
      </c>
      <c r="K15" s="464">
        <f>17060.75+287.89+2500.58+8367.04+414.68</f>
        <v>28630.940000000002</v>
      </c>
      <c r="L15" s="806" t="s">
        <v>427</v>
      </c>
      <c r="M15" s="792" t="s">
        <v>236</v>
      </c>
      <c r="N15" s="792" t="s">
        <v>236</v>
      </c>
      <c r="O15" s="792" t="s">
        <v>236</v>
      </c>
      <c r="P15" s="792" t="s">
        <v>236</v>
      </c>
      <c r="Q15" s="792" t="s">
        <v>236</v>
      </c>
      <c r="R15" s="792" t="s">
        <v>236</v>
      </c>
      <c r="S15" s="851"/>
      <c r="T15" s="643"/>
      <c r="U15" s="508"/>
    </row>
    <row r="16" spans="1:21" ht="19.5" customHeight="1">
      <c r="A16" s="640"/>
      <c r="B16" s="544"/>
      <c r="C16" s="759"/>
      <c r="D16" s="543" t="s">
        <v>6</v>
      </c>
      <c r="E16" s="464">
        <f>SUM(F16:K16)</f>
        <v>304100.73199999996</v>
      </c>
      <c r="F16" s="464">
        <f>48759.5-44</f>
        <v>48715.5</v>
      </c>
      <c r="G16" s="465">
        <f>950+600+19560.65+22669.55+13.92+11.39+1392+1139.3-433.2-940.1+204.4-5.161-4.237</f>
        <v>45158.512</v>
      </c>
      <c r="H16" s="464">
        <f>1069.31+42616.1+2058.2+20.58-153.58-0.7-27.9+941.8</f>
        <v>46523.81</v>
      </c>
      <c r="I16" s="659">
        <f>2838.57+2119.5+48592.1+22.08</f>
        <v>53572.25</v>
      </c>
      <c r="J16" s="659">
        <f>756.81+2119.5+50913.3+22.08</f>
        <v>53811.69</v>
      </c>
      <c r="K16" s="659">
        <f>790.79+2119.5+53386.6+22.08</f>
        <v>56318.97</v>
      </c>
      <c r="L16" s="856"/>
      <c r="M16" s="845"/>
      <c r="N16" s="845"/>
      <c r="O16" s="845"/>
      <c r="P16" s="845"/>
      <c r="Q16" s="845"/>
      <c r="R16" s="845"/>
      <c r="S16" s="851"/>
      <c r="T16" s="509"/>
      <c r="U16" s="508"/>
    </row>
    <row r="17" spans="1:21" ht="23.25" customHeight="1" hidden="1">
      <c r="A17" s="640"/>
      <c r="B17" s="545"/>
      <c r="C17" s="759"/>
      <c r="D17" s="546"/>
      <c r="E17" s="464"/>
      <c r="F17" s="465"/>
      <c r="G17" s="464"/>
      <c r="H17" s="465"/>
      <c r="I17" s="659"/>
      <c r="J17" s="659"/>
      <c r="K17" s="660"/>
      <c r="S17" s="851"/>
      <c r="T17" s="509"/>
      <c r="U17" s="508"/>
    </row>
    <row r="18" spans="1:21" ht="37.5" customHeight="1" hidden="1">
      <c r="A18" s="640"/>
      <c r="B18" s="545"/>
      <c r="C18" s="759"/>
      <c r="D18" s="547"/>
      <c r="E18" s="464"/>
      <c r="F18" s="465"/>
      <c r="G18" s="464"/>
      <c r="H18" s="465"/>
      <c r="I18" s="659"/>
      <c r="J18" s="659"/>
      <c r="K18" s="660"/>
      <c r="L18" s="542"/>
      <c r="M18" s="587"/>
      <c r="N18" s="587"/>
      <c r="O18" s="587"/>
      <c r="P18" s="587"/>
      <c r="Q18" s="587"/>
      <c r="R18" s="587"/>
      <c r="S18" s="851"/>
      <c r="T18" s="509"/>
      <c r="U18" s="508"/>
    </row>
    <row r="19" spans="1:21" ht="26.25" customHeight="1" hidden="1">
      <c r="A19" s="640"/>
      <c r="B19" s="545"/>
      <c r="C19" s="759"/>
      <c r="D19" s="546"/>
      <c r="E19" s="464"/>
      <c r="F19" s="465"/>
      <c r="G19" s="464"/>
      <c r="H19" s="465"/>
      <c r="I19" s="659"/>
      <c r="J19" s="659"/>
      <c r="K19" s="660"/>
      <c r="L19" s="542"/>
      <c r="M19" s="587"/>
      <c r="N19" s="587"/>
      <c r="O19" s="587"/>
      <c r="P19" s="587"/>
      <c r="Q19" s="587"/>
      <c r="R19" s="587"/>
      <c r="S19" s="851"/>
      <c r="T19" s="509"/>
      <c r="U19" s="508"/>
    </row>
    <row r="20" spans="1:21" ht="47.25" customHeight="1" hidden="1">
      <c r="A20" s="640"/>
      <c r="B20" s="545"/>
      <c r="C20" s="759"/>
      <c r="D20" s="548"/>
      <c r="E20" s="506"/>
      <c r="F20" s="465"/>
      <c r="G20" s="506"/>
      <c r="H20" s="465"/>
      <c r="I20" s="558"/>
      <c r="J20" s="558"/>
      <c r="K20" s="665"/>
      <c r="S20" s="852"/>
      <c r="T20" s="509"/>
      <c r="U20" s="508"/>
    </row>
    <row r="21" spans="1:21" ht="24.75" customHeight="1">
      <c r="A21" s="640"/>
      <c r="B21" s="585"/>
      <c r="C21" s="759"/>
      <c r="D21" s="624" t="s">
        <v>418</v>
      </c>
      <c r="E21" s="462">
        <f aca="true" t="shared" si="3" ref="E21:K21">E22+E23</f>
        <v>460255.04500000004</v>
      </c>
      <c r="F21" s="462">
        <f t="shared" si="3"/>
        <v>71306.89000000001</v>
      </c>
      <c r="G21" s="462">
        <f t="shared" si="3"/>
        <v>67955.185</v>
      </c>
      <c r="H21" s="462">
        <f t="shared" si="3"/>
        <v>76131.18</v>
      </c>
      <c r="I21" s="529">
        <f t="shared" si="3"/>
        <v>80201.4</v>
      </c>
      <c r="J21" s="529">
        <f t="shared" si="3"/>
        <v>79809.58</v>
      </c>
      <c r="K21" s="529">
        <f t="shared" si="3"/>
        <v>84850.81</v>
      </c>
      <c r="L21" s="806" t="s">
        <v>466</v>
      </c>
      <c r="M21" s="792" t="s">
        <v>446</v>
      </c>
      <c r="N21" s="792" t="s">
        <v>502</v>
      </c>
      <c r="O21" s="792" t="s">
        <v>446</v>
      </c>
      <c r="P21" s="792">
        <v>95</v>
      </c>
      <c r="Q21" s="792">
        <v>95</v>
      </c>
      <c r="R21" s="792">
        <v>95</v>
      </c>
      <c r="S21" s="855" t="s">
        <v>51</v>
      </c>
      <c r="T21" s="509"/>
      <c r="U21" s="508"/>
    </row>
    <row r="22" spans="1:21" ht="21" customHeight="1">
      <c r="A22" s="640"/>
      <c r="B22" s="585"/>
      <c r="C22" s="759"/>
      <c r="D22" s="594" t="s">
        <v>5</v>
      </c>
      <c r="E22" s="464">
        <f>SUM(F22:K22)</f>
        <v>93186.725</v>
      </c>
      <c r="F22" s="464">
        <f>12616.79+100+150</f>
        <v>12866.79</v>
      </c>
      <c r="G22" s="464">
        <f>13175.98+15.79+160.15+587+4.86+282.905</f>
        <v>14226.685000000001</v>
      </c>
      <c r="H22" s="464">
        <f>12650.42+709.26+750+10.53-20-5+164.26-50</f>
        <v>14209.470000000001</v>
      </c>
      <c r="I22" s="659">
        <f>5881.52+408.24+1307.91+10351.15+349</f>
        <v>18297.82</v>
      </c>
      <c r="J22" s="659">
        <f>3488.34+500.43+750+10886.24+87.82</f>
        <v>15712.83</v>
      </c>
      <c r="K22" s="659">
        <f>4488.34+500.43+1470.91+11321.69+91.76</f>
        <v>17873.13</v>
      </c>
      <c r="L22" s="874"/>
      <c r="M22" s="857"/>
      <c r="N22" s="857"/>
      <c r="O22" s="857"/>
      <c r="P22" s="857"/>
      <c r="Q22" s="857"/>
      <c r="R22" s="857"/>
      <c r="S22" s="855"/>
      <c r="T22" s="643"/>
      <c r="U22" s="508"/>
    </row>
    <row r="23" spans="1:21" ht="17.25" customHeight="1">
      <c r="A23" s="640"/>
      <c r="B23" s="585"/>
      <c r="C23" s="759"/>
      <c r="D23" s="593" t="s">
        <v>6</v>
      </c>
      <c r="E23" s="506">
        <f>SUM(F23:K23)</f>
        <v>367068.32</v>
      </c>
      <c r="F23" s="506">
        <f>58120.8+319.3</f>
        <v>58440.100000000006</v>
      </c>
      <c r="G23" s="506">
        <f>300+59583.9-6155.4</f>
        <v>53728.5</v>
      </c>
      <c r="H23" s="506">
        <f>57783.5+200-114.99+4053.2</f>
        <v>61921.71</v>
      </c>
      <c r="I23" s="558">
        <f>661.48+61242.1</f>
        <v>61903.58</v>
      </c>
      <c r="J23" s="558">
        <f>167.45+63929.3</f>
        <v>64096.75</v>
      </c>
      <c r="K23" s="558">
        <f>174.98+66802.7</f>
        <v>66977.68</v>
      </c>
      <c r="L23" s="856"/>
      <c r="M23" s="845"/>
      <c r="N23" s="845"/>
      <c r="O23" s="845"/>
      <c r="P23" s="845"/>
      <c r="Q23" s="845"/>
      <c r="R23" s="845"/>
      <c r="S23" s="855"/>
      <c r="T23" s="509"/>
      <c r="U23" s="508"/>
    </row>
    <row r="24" spans="1:21" ht="24" customHeight="1">
      <c r="A24" s="640"/>
      <c r="B24" s="545"/>
      <c r="C24" s="759"/>
      <c r="D24" s="541" t="s">
        <v>418</v>
      </c>
      <c r="E24" s="462">
        <f aca="true" t="shared" si="4" ref="E24:K24">E25+E26</f>
        <v>71848.15000000001</v>
      </c>
      <c r="F24" s="462">
        <f t="shared" si="4"/>
        <v>12144.72</v>
      </c>
      <c r="G24" s="462">
        <f t="shared" si="4"/>
        <v>11721.05</v>
      </c>
      <c r="H24" s="462">
        <f t="shared" si="4"/>
        <v>11716.59</v>
      </c>
      <c r="I24" s="529">
        <f t="shared" si="4"/>
        <v>12081.150000000001</v>
      </c>
      <c r="J24" s="529">
        <f t="shared" si="4"/>
        <v>11405.62</v>
      </c>
      <c r="K24" s="529">
        <f t="shared" si="4"/>
        <v>12779.02</v>
      </c>
      <c r="L24" s="789" t="s">
        <v>268</v>
      </c>
      <c r="M24" s="792" t="s">
        <v>428</v>
      </c>
      <c r="N24" s="792" t="s">
        <v>428</v>
      </c>
      <c r="O24" s="792" t="s">
        <v>509</v>
      </c>
      <c r="P24" s="792" t="s">
        <v>503</v>
      </c>
      <c r="Q24" s="792" t="s">
        <v>503</v>
      </c>
      <c r="R24" s="792" t="s">
        <v>503</v>
      </c>
      <c r="S24" s="591" t="s">
        <v>525</v>
      </c>
      <c r="T24" s="509"/>
      <c r="U24" s="508"/>
    </row>
    <row r="25" spans="1:21" ht="15" customHeight="1">
      <c r="A25" s="640"/>
      <c r="B25" s="545"/>
      <c r="C25" s="759"/>
      <c r="D25" s="550" t="s">
        <v>5</v>
      </c>
      <c r="E25" s="464">
        <f>SUM(F25:K25)</f>
        <v>63183.12</v>
      </c>
      <c r="F25" s="465">
        <f>10576.82+20</f>
        <v>10596.82</v>
      </c>
      <c r="G25" s="464">
        <f>10113.83+63.48+11.44+19+90</f>
        <v>10297.75</v>
      </c>
      <c r="H25" s="464">
        <f>9621.23+62.68+150+80.3-98-150+59.7+150+148.71+51.29</f>
        <v>10075.91</v>
      </c>
      <c r="I25" s="659">
        <f>8654.68+72.39+293.29+864.25+755.61</f>
        <v>10640.220000000001</v>
      </c>
      <c r="J25" s="659">
        <f>8337.12+72.39+150+898.82+669.86</f>
        <v>10128.19</v>
      </c>
      <c r="K25" s="659">
        <f>9337.12+72.39+400+934.77+699.95</f>
        <v>11444.230000000001</v>
      </c>
      <c r="L25" s="790"/>
      <c r="M25" s="857"/>
      <c r="N25" s="857"/>
      <c r="O25" s="857"/>
      <c r="P25" s="857"/>
      <c r="Q25" s="857"/>
      <c r="R25" s="857"/>
      <c r="S25" s="591"/>
      <c r="T25" s="509"/>
      <c r="U25" s="508"/>
    </row>
    <row r="26" spans="1:21" ht="15.75" customHeight="1">
      <c r="A26" s="640"/>
      <c r="B26" s="545"/>
      <c r="C26" s="759"/>
      <c r="D26" s="550" t="s">
        <v>6</v>
      </c>
      <c r="E26" s="464">
        <f>SUM(F26:K26)</f>
        <v>8665.03</v>
      </c>
      <c r="F26" s="465">
        <v>1547.9</v>
      </c>
      <c r="G26" s="464">
        <f>1206.1+217.2</f>
        <v>1423.3</v>
      </c>
      <c r="H26" s="464">
        <f>1525.69+114.99</f>
        <v>1640.68</v>
      </c>
      <c r="I26" s="659">
        <f>1440.93</f>
        <v>1440.93</v>
      </c>
      <c r="J26" s="659">
        <f>1277.43</f>
        <v>1277.43</v>
      </c>
      <c r="K26" s="659">
        <f>1334.79</f>
        <v>1334.79</v>
      </c>
      <c r="L26" s="791"/>
      <c r="M26" s="845"/>
      <c r="N26" s="845"/>
      <c r="O26" s="845"/>
      <c r="P26" s="845"/>
      <c r="Q26" s="845"/>
      <c r="R26" s="845"/>
      <c r="S26" s="591"/>
      <c r="T26" s="509"/>
      <c r="U26" s="508"/>
    </row>
    <row r="27" spans="1:21" ht="20.25" customHeight="1">
      <c r="A27" s="640"/>
      <c r="B27" s="545"/>
      <c r="C27" s="759"/>
      <c r="D27" s="541" t="s">
        <v>418</v>
      </c>
      <c r="E27" s="462">
        <f>SUM(F27:K27)</f>
        <v>138</v>
      </c>
      <c r="F27" s="462">
        <f aca="true" t="shared" si="5" ref="F27:K27">F28+F29</f>
        <v>138</v>
      </c>
      <c r="G27" s="462">
        <f t="shared" si="5"/>
        <v>0</v>
      </c>
      <c r="H27" s="462">
        <f t="shared" si="5"/>
        <v>0</v>
      </c>
      <c r="I27" s="462">
        <f t="shared" si="5"/>
        <v>0</v>
      </c>
      <c r="J27" s="462">
        <f t="shared" si="5"/>
        <v>0</v>
      </c>
      <c r="K27" s="462">
        <f t="shared" si="5"/>
        <v>0</v>
      </c>
      <c r="L27" s="789" t="s">
        <v>510</v>
      </c>
      <c r="M27" s="584" t="s">
        <v>505</v>
      </c>
      <c r="N27" s="584" t="s">
        <v>213</v>
      </c>
      <c r="O27" s="584" t="s">
        <v>213</v>
      </c>
      <c r="P27" s="584" t="s">
        <v>213</v>
      </c>
      <c r="Q27" s="584" t="s">
        <v>213</v>
      </c>
      <c r="R27" s="584" t="s">
        <v>213</v>
      </c>
      <c r="S27" s="586" t="s">
        <v>307</v>
      </c>
      <c r="T27" s="509"/>
      <c r="U27" s="508"/>
    </row>
    <row r="28" spans="1:21" ht="12.75" customHeight="1">
      <c r="A28" s="640"/>
      <c r="B28" s="545"/>
      <c r="C28" s="759"/>
      <c r="D28" s="550" t="s">
        <v>5</v>
      </c>
      <c r="E28" s="464">
        <f>SUM(F28:K28)</f>
        <v>138</v>
      </c>
      <c r="F28" s="583">
        <v>138</v>
      </c>
      <c r="G28" s="583">
        <v>0</v>
      </c>
      <c r="H28" s="583">
        <v>0</v>
      </c>
      <c r="I28" s="464">
        <v>0</v>
      </c>
      <c r="J28" s="464">
        <v>0</v>
      </c>
      <c r="K28" s="464">
        <v>0</v>
      </c>
      <c r="L28" s="790"/>
      <c r="M28" s="584"/>
      <c r="N28" s="584"/>
      <c r="O28" s="584"/>
      <c r="P28" s="584"/>
      <c r="Q28" s="551"/>
      <c r="R28" s="551"/>
      <c r="S28" s="591"/>
      <c r="T28" s="509"/>
      <c r="U28" s="508"/>
    </row>
    <row r="29" spans="1:21" ht="21.75" customHeight="1">
      <c r="A29" s="640"/>
      <c r="B29" s="545"/>
      <c r="C29" s="759"/>
      <c r="D29" s="550" t="s">
        <v>6</v>
      </c>
      <c r="E29" s="464">
        <f>SUM(F29:K29)</f>
        <v>0</v>
      </c>
      <c r="F29" s="583">
        <v>0</v>
      </c>
      <c r="G29" s="583">
        <v>0</v>
      </c>
      <c r="H29" s="583">
        <v>0</v>
      </c>
      <c r="I29" s="464">
        <v>0</v>
      </c>
      <c r="J29" s="464">
        <v>0</v>
      </c>
      <c r="K29" s="464">
        <v>0</v>
      </c>
      <c r="L29" s="791"/>
      <c r="M29" s="584"/>
      <c r="N29" s="584"/>
      <c r="O29" s="584"/>
      <c r="P29" s="584"/>
      <c r="Q29" s="551"/>
      <c r="R29" s="551"/>
      <c r="S29" s="592"/>
      <c r="T29" s="509"/>
      <c r="U29" s="508"/>
    </row>
    <row r="30" spans="1:21" ht="31.5" customHeight="1">
      <c r="A30" s="640"/>
      <c r="B30" s="545"/>
      <c r="C30" s="759"/>
      <c r="D30" s="541" t="s">
        <v>418</v>
      </c>
      <c r="E30" s="462">
        <f aca="true" t="shared" si="6" ref="E30:K30">E31+E32</f>
        <v>191.57000000000005</v>
      </c>
      <c r="F30" s="462">
        <f t="shared" si="6"/>
        <v>44</v>
      </c>
      <c r="G30" s="462">
        <f t="shared" si="6"/>
        <v>23.89</v>
      </c>
      <c r="H30" s="462">
        <f t="shared" si="6"/>
        <v>30.92</v>
      </c>
      <c r="I30" s="462">
        <f t="shared" si="6"/>
        <v>30.92</v>
      </c>
      <c r="J30" s="462">
        <f t="shared" si="6"/>
        <v>30.92</v>
      </c>
      <c r="K30" s="462">
        <f t="shared" si="6"/>
        <v>30.92</v>
      </c>
      <c r="L30" s="875" t="s">
        <v>422</v>
      </c>
      <c r="M30" s="792">
        <v>100</v>
      </c>
      <c r="N30" s="792">
        <v>100</v>
      </c>
      <c r="O30" s="792">
        <v>100</v>
      </c>
      <c r="P30" s="792">
        <v>100</v>
      </c>
      <c r="Q30" s="792">
        <v>100</v>
      </c>
      <c r="R30" s="792">
        <v>100</v>
      </c>
      <c r="S30" s="775" t="s">
        <v>421</v>
      </c>
      <c r="T30" s="509"/>
      <c r="U30" s="508"/>
    </row>
    <row r="31" spans="1:21" ht="15.75" customHeight="1">
      <c r="A31" s="640"/>
      <c r="B31" s="545"/>
      <c r="C31" s="759"/>
      <c r="D31" s="550" t="s">
        <v>5</v>
      </c>
      <c r="E31" s="464">
        <v>0</v>
      </c>
      <c r="F31" s="464">
        <v>0</v>
      </c>
      <c r="G31" s="583">
        <v>0</v>
      </c>
      <c r="H31" s="583">
        <v>0</v>
      </c>
      <c r="I31" s="464">
        <v>0</v>
      </c>
      <c r="J31" s="464">
        <v>0</v>
      </c>
      <c r="K31" s="464">
        <v>0</v>
      </c>
      <c r="L31" s="820"/>
      <c r="M31" s="793"/>
      <c r="N31" s="793"/>
      <c r="O31" s="793"/>
      <c r="P31" s="793"/>
      <c r="Q31" s="793"/>
      <c r="R31" s="793"/>
      <c r="S31" s="798"/>
      <c r="T31" s="509"/>
      <c r="U31" s="508"/>
    </row>
    <row r="32" spans="1:21" ht="42" customHeight="1">
      <c r="A32" s="641"/>
      <c r="B32" s="545"/>
      <c r="C32" s="760"/>
      <c r="D32" s="593" t="s">
        <v>6</v>
      </c>
      <c r="E32" s="506">
        <f>SUM(F32:K32)</f>
        <v>191.57000000000005</v>
      </c>
      <c r="F32" s="506">
        <v>44</v>
      </c>
      <c r="G32" s="549">
        <f>37.99-14.1</f>
        <v>23.89</v>
      </c>
      <c r="H32" s="549">
        <v>30.92</v>
      </c>
      <c r="I32" s="549">
        <v>30.92</v>
      </c>
      <c r="J32" s="549">
        <v>30.92</v>
      </c>
      <c r="K32" s="549">
        <v>30.92</v>
      </c>
      <c r="L32" s="821"/>
      <c r="M32" s="794"/>
      <c r="N32" s="794"/>
      <c r="O32" s="794"/>
      <c r="P32" s="794"/>
      <c r="Q32" s="794"/>
      <c r="R32" s="794"/>
      <c r="S32" s="799"/>
      <c r="T32" s="509"/>
      <c r="U32" s="508"/>
    </row>
    <row r="33" spans="1:21" ht="18" customHeight="1">
      <c r="A33" s="16" t="s">
        <v>24</v>
      </c>
      <c r="B33" s="802" t="s">
        <v>448</v>
      </c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4"/>
      <c r="T33" s="509"/>
      <c r="U33" s="508"/>
    </row>
    <row r="34" spans="1:21" ht="23.25" customHeight="1">
      <c r="A34" s="837" t="s">
        <v>26</v>
      </c>
      <c r="B34" s="789" t="s">
        <v>423</v>
      </c>
      <c r="C34" s="758" t="s">
        <v>472</v>
      </c>
      <c r="D34" s="636" t="s">
        <v>418</v>
      </c>
      <c r="E34" s="442">
        <f aca="true" t="shared" si="7" ref="E34:K34">SUM(E35:E38)</f>
        <v>127</v>
      </c>
      <c r="F34" s="442">
        <f t="shared" si="7"/>
        <v>35</v>
      </c>
      <c r="G34" s="442">
        <f t="shared" si="7"/>
        <v>35</v>
      </c>
      <c r="H34" s="442">
        <f t="shared" si="7"/>
        <v>15</v>
      </c>
      <c r="I34" s="442">
        <f t="shared" si="7"/>
        <v>14</v>
      </c>
      <c r="J34" s="442">
        <f t="shared" si="7"/>
        <v>14</v>
      </c>
      <c r="K34" s="442">
        <f t="shared" si="7"/>
        <v>14</v>
      </c>
      <c r="L34" s="789" t="s">
        <v>256</v>
      </c>
      <c r="M34" s="792" t="s">
        <v>236</v>
      </c>
      <c r="N34" s="792" t="s">
        <v>236</v>
      </c>
      <c r="O34" s="792" t="s">
        <v>236</v>
      </c>
      <c r="P34" s="792" t="s">
        <v>236</v>
      </c>
      <c r="Q34" s="792" t="s">
        <v>236</v>
      </c>
      <c r="R34" s="792" t="s">
        <v>236</v>
      </c>
      <c r="S34" s="775" t="s">
        <v>307</v>
      </c>
      <c r="T34" s="642"/>
      <c r="U34" s="508"/>
    </row>
    <row r="35" spans="1:21" ht="11.25" customHeight="1">
      <c r="A35" s="864"/>
      <c r="B35" s="866"/>
      <c r="C35" s="820"/>
      <c r="D35" s="858" t="s">
        <v>5</v>
      </c>
      <c r="E35" s="825">
        <f>SUM(F35:K36)</f>
        <v>127</v>
      </c>
      <c r="F35" s="825">
        <v>35</v>
      </c>
      <c r="G35" s="825">
        <v>35</v>
      </c>
      <c r="H35" s="825">
        <v>15</v>
      </c>
      <c r="I35" s="825">
        <v>14</v>
      </c>
      <c r="J35" s="825">
        <v>14</v>
      </c>
      <c r="K35" s="825">
        <v>14</v>
      </c>
      <c r="L35" s="790"/>
      <c r="M35" s="857"/>
      <c r="N35" s="857"/>
      <c r="O35" s="857"/>
      <c r="P35" s="857"/>
      <c r="Q35" s="857"/>
      <c r="R35" s="857"/>
      <c r="S35" s="820"/>
      <c r="T35" s="643"/>
      <c r="U35" s="508"/>
    </row>
    <row r="36" spans="1:21" ht="3.75" customHeight="1">
      <c r="A36" s="864"/>
      <c r="B36" s="866"/>
      <c r="C36" s="820"/>
      <c r="D36" s="858"/>
      <c r="E36" s="825"/>
      <c r="F36" s="825"/>
      <c r="G36" s="825"/>
      <c r="H36" s="825"/>
      <c r="I36" s="825"/>
      <c r="J36" s="825"/>
      <c r="K36" s="825"/>
      <c r="L36" s="790"/>
      <c r="M36" s="857"/>
      <c r="N36" s="857"/>
      <c r="O36" s="857"/>
      <c r="P36" s="857"/>
      <c r="Q36" s="857"/>
      <c r="R36" s="857"/>
      <c r="S36" s="820"/>
      <c r="T36" s="509"/>
      <c r="U36" s="508"/>
    </row>
    <row r="37" spans="1:21" ht="5.25" customHeight="1">
      <c r="A37" s="864"/>
      <c r="B37" s="866"/>
      <c r="C37" s="820"/>
      <c r="D37" s="835" t="s">
        <v>6</v>
      </c>
      <c r="E37" s="809">
        <f>SUM(F37:K38)</f>
        <v>0</v>
      </c>
      <c r="F37" s="809">
        <v>0</v>
      </c>
      <c r="G37" s="809">
        <v>0</v>
      </c>
      <c r="H37" s="809">
        <v>0</v>
      </c>
      <c r="I37" s="809">
        <v>0</v>
      </c>
      <c r="J37" s="809">
        <v>0</v>
      </c>
      <c r="K37" s="809">
        <v>0</v>
      </c>
      <c r="L37" s="790"/>
      <c r="M37" s="857"/>
      <c r="N37" s="857"/>
      <c r="O37" s="857"/>
      <c r="P37" s="857"/>
      <c r="Q37" s="857"/>
      <c r="R37" s="857"/>
      <c r="S37" s="820"/>
      <c r="T37" s="509"/>
      <c r="U37" s="508"/>
    </row>
    <row r="38" spans="1:21" ht="21" customHeight="1">
      <c r="A38" s="865"/>
      <c r="B38" s="867"/>
      <c r="C38" s="821"/>
      <c r="D38" s="836"/>
      <c r="E38" s="810"/>
      <c r="F38" s="810"/>
      <c r="G38" s="810"/>
      <c r="H38" s="810"/>
      <c r="I38" s="810"/>
      <c r="J38" s="810"/>
      <c r="K38" s="810"/>
      <c r="L38" s="791"/>
      <c r="M38" s="845"/>
      <c r="N38" s="845"/>
      <c r="O38" s="845"/>
      <c r="P38" s="845"/>
      <c r="Q38" s="845"/>
      <c r="R38" s="845"/>
      <c r="S38" s="821"/>
      <c r="T38" s="509"/>
      <c r="U38" s="508"/>
    </row>
    <row r="39" spans="1:21" ht="12" customHeight="1">
      <c r="A39" s="8" t="s">
        <v>28</v>
      </c>
      <c r="B39" s="802" t="s">
        <v>425</v>
      </c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4"/>
      <c r="T39" s="509"/>
      <c r="U39" s="508"/>
    </row>
    <row r="40" spans="1:21" s="233" customFormat="1" ht="21" customHeight="1">
      <c r="A40" s="775" t="s">
        <v>30</v>
      </c>
      <c r="B40" s="859" t="s">
        <v>424</v>
      </c>
      <c r="C40" s="836" t="s">
        <v>472</v>
      </c>
      <c r="D40" s="636" t="s">
        <v>418</v>
      </c>
      <c r="E40" s="442">
        <f aca="true" t="shared" si="8" ref="E40:K40">E41+E42</f>
        <v>20328.05</v>
      </c>
      <c r="F40" s="442">
        <f t="shared" si="8"/>
        <v>3089.2</v>
      </c>
      <c r="G40" s="442">
        <f t="shared" si="8"/>
        <v>3138.8</v>
      </c>
      <c r="H40" s="442">
        <f t="shared" si="8"/>
        <v>3008.5199999999995</v>
      </c>
      <c r="I40" s="442">
        <f t="shared" si="8"/>
        <v>3766.73</v>
      </c>
      <c r="J40" s="442">
        <f t="shared" si="8"/>
        <v>3715.5</v>
      </c>
      <c r="K40" s="442">
        <f t="shared" si="8"/>
        <v>3609.3</v>
      </c>
      <c r="L40" s="789" t="s">
        <v>430</v>
      </c>
      <c r="M40" s="792" t="s">
        <v>266</v>
      </c>
      <c r="N40" s="792" t="s">
        <v>504</v>
      </c>
      <c r="O40" s="792" t="s">
        <v>266</v>
      </c>
      <c r="P40" s="792" t="s">
        <v>266</v>
      </c>
      <c r="Q40" s="792" t="s">
        <v>266</v>
      </c>
      <c r="R40" s="792" t="s">
        <v>266</v>
      </c>
      <c r="S40" s="775" t="s">
        <v>51</v>
      </c>
      <c r="T40" s="642"/>
      <c r="U40" s="509"/>
    </row>
    <row r="41" spans="1:21" s="233" customFormat="1" ht="13.5" customHeight="1">
      <c r="A41" s="807"/>
      <c r="B41" s="860"/>
      <c r="C41" s="862"/>
      <c r="D41" s="594" t="s">
        <v>5</v>
      </c>
      <c r="E41" s="589">
        <f>F41+G41+H41+I41+J41+K41</f>
        <v>8936.75</v>
      </c>
      <c r="F41" s="589">
        <v>1606</v>
      </c>
      <c r="G41" s="589">
        <f>1307</f>
        <v>1307</v>
      </c>
      <c r="H41" s="589">
        <f>1138.58+215-139.26+50</f>
        <v>1264.32</v>
      </c>
      <c r="I41" s="589">
        <f>1331.97+288.66</f>
        <v>1620.63</v>
      </c>
      <c r="J41" s="589">
        <f>1280.74+288.66</f>
        <v>1569.4</v>
      </c>
      <c r="K41" s="589">
        <f>1280.74+288.66</f>
        <v>1569.4</v>
      </c>
      <c r="L41" s="820"/>
      <c r="M41" s="793"/>
      <c r="N41" s="793"/>
      <c r="O41" s="793"/>
      <c r="P41" s="793"/>
      <c r="Q41" s="793"/>
      <c r="R41" s="793"/>
      <c r="S41" s="807"/>
      <c r="T41" s="643"/>
      <c r="U41" s="644"/>
    </row>
    <row r="42" spans="1:21" s="233" customFormat="1" ht="13.5" customHeight="1">
      <c r="A42" s="807"/>
      <c r="B42" s="860"/>
      <c r="C42" s="862"/>
      <c r="D42" s="593" t="s">
        <v>6</v>
      </c>
      <c r="E42" s="589">
        <f>F42+G42+H42+I42+J42+K42</f>
        <v>11391.3</v>
      </c>
      <c r="F42" s="588">
        <v>1483.2</v>
      </c>
      <c r="G42" s="588">
        <f>1762.3-69.5+139</f>
        <v>1831.8</v>
      </c>
      <c r="H42" s="588">
        <f>1879+186.2-8.8-312.2</f>
        <v>1744.1999999999996</v>
      </c>
      <c r="I42" s="588">
        <f>148.5+1997.6</f>
        <v>2146.1</v>
      </c>
      <c r="J42" s="588">
        <f>148.5+1997.6</f>
        <v>2146.1</v>
      </c>
      <c r="K42" s="588">
        <f>148.5+1891.4</f>
        <v>2039.9</v>
      </c>
      <c r="L42" s="821"/>
      <c r="M42" s="794"/>
      <c r="N42" s="794"/>
      <c r="O42" s="794"/>
      <c r="P42" s="794"/>
      <c r="Q42" s="794"/>
      <c r="R42" s="794"/>
      <c r="S42" s="807"/>
      <c r="T42" s="643"/>
      <c r="U42" s="644"/>
    </row>
    <row r="43" spans="1:21" s="233" customFormat="1" ht="16.5" customHeight="1" hidden="1">
      <c r="A43" s="807"/>
      <c r="B43" s="860"/>
      <c r="C43" s="862"/>
      <c r="D43" s="420"/>
      <c r="E43" s="589"/>
      <c r="F43" s="589"/>
      <c r="G43" s="589"/>
      <c r="H43" s="589"/>
      <c r="I43" s="589"/>
      <c r="J43" s="589"/>
      <c r="K43" s="589"/>
      <c r="L43" s="805"/>
      <c r="M43" s="800"/>
      <c r="N43" s="800"/>
      <c r="O43" s="800"/>
      <c r="P43" s="800"/>
      <c r="Q43" s="584"/>
      <c r="R43" s="584"/>
      <c r="S43" s="807"/>
      <c r="T43" s="509"/>
      <c r="U43" s="509"/>
    </row>
    <row r="44" spans="1:21" s="233" customFormat="1" ht="16.5" customHeight="1" hidden="1" thickBot="1">
      <c r="A44" s="808"/>
      <c r="B44" s="861"/>
      <c r="C44" s="863"/>
      <c r="D44" s="420"/>
      <c r="E44" s="589"/>
      <c r="F44" s="589"/>
      <c r="G44" s="589"/>
      <c r="H44" s="589"/>
      <c r="I44" s="589"/>
      <c r="J44" s="589"/>
      <c r="K44" s="589"/>
      <c r="L44" s="806"/>
      <c r="M44" s="801"/>
      <c r="N44" s="801"/>
      <c r="O44" s="801"/>
      <c r="P44" s="801"/>
      <c r="Q44" s="581"/>
      <c r="R44" s="581"/>
      <c r="S44" s="808"/>
      <c r="T44" s="509"/>
      <c r="U44" s="509"/>
    </row>
    <row r="45" spans="1:21" ht="12" customHeight="1">
      <c r="A45" s="8" t="s">
        <v>34</v>
      </c>
      <c r="B45" s="822" t="s">
        <v>465</v>
      </c>
      <c r="C45" s="822"/>
      <c r="D45" s="822"/>
      <c r="E45" s="822"/>
      <c r="F45" s="822"/>
      <c r="G45" s="822"/>
      <c r="H45" s="822"/>
      <c r="I45" s="822"/>
      <c r="J45" s="822"/>
      <c r="K45" s="822"/>
      <c r="L45" s="822"/>
      <c r="M45" s="822"/>
      <c r="N45" s="822"/>
      <c r="O45" s="822"/>
      <c r="P45" s="822"/>
      <c r="Q45" s="822"/>
      <c r="R45" s="822"/>
      <c r="S45" s="822"/>
      <c r="T45" s="509"/>
      <c r="U45" s="508"/>
    </row>
    <row r="46" spans="1:21" s="233" customFormat="1" ht="23.25" customHeight="1">
      <c r="A46" s="775" t="s">
        <v>36</v>
      </c>
      <c r="B46" s="772" t="s">
        <v>464</v>
      </c>
      <c r="C46" s="764" t="s">
        <v>472</v>
      </c>
      <c r="D46" s="655" t="s">
        <v>418</v>
      </c>
      <c r="E46" s="656">
        <f>E47+E48</f>
        <v>11200.63</v>
      </c>
      <c r="F46" s="656">
        <f>F47+F48</f>
        <v>2209.5</v>
      </c>
      <c r="G46" s="656">
        <f>G47+G48</f>
        <v>1866.62</v>
      </c>
      <c r="H46" s="656">
        <f>H47+H48</f>
        <v>646.21</v>
      </c>
      <c r="I46" s="656">
        <f>I47+I48</f>
        <v>5928.299999999999</v>
      </c>
      <c r="J46" s="656">
        <f>J47+J48</f>
        <v>550</v>
      </c>
      <c r="K46" s="656">
        <f>K47+K48</f>
        <v>0</v>
      </c>
      <c r="L46" s="772"/>
      <c r="M46" s="871"/>
      <c r="N46" s="871"/>
      <c r="O46" s="871"/>
      <c r="P46" s="871"/>
      <c r="Q46" s="871"/>
      <c r="R46" s="871"/>
      <c r="S46" s="868"/>
      <c r="T46" s="642"/>
      <c r="U46" s="509"/>
    </row>
    <row r="47" spans="1:21" s="233" customFormat="1" ht="13.5" customHeight="1">
      <c r="A47" s="776"/>
      <c r="B47" s="773"/>
      <c r="C47" s="765"/>
      <c r="D47" s="657" t="s">
        <v>5</v>
      </c>
      <c r="E47" s="658">
        <f>F47+G47+H47+I47+J47+K47</f>
        <v>9554.23</v>
      </c>
      <c r="F47" s="659">
        <f aca="true" t="shared" si="9" ref="F47:K48">F50+F53+F68</f>
        <v>2209.5</v>
      </c>
      <c r="G47" s="659">
        <f t="shared" si="9"/>
        <v>1866.62</v>
      </c>
      <c r="H47" s="659">
        <f t="shared" si="9"/>
        <v>646.21</v>
      </c>
      <c r="I47" s="659">
        <f t="shared" si="9"/>
        <v>4281.9</v>
      </c>
      <c r="J47" s="659">
        <f t="shared" si="9"/>
        <v>550</v>
      </c>
      <c r="K47" s="659">
        <f t="shared" si="9"/>
        <v>0</v>
      </c>
      <c r="L47" s="823"/>
      <c r="M47" s="872"/>
      <c r="N47" s="872"/>
      <c r="O47" s="872"/>
      <c r="P47" s="872"/>
      <c r="Q47" s="872"/>
      <c r="R47" s="872"/>
      <c r="S47" s="869"/>
      <c r="T47" s="643"/>
      <c r="U47" s="509"/>
    </row>
    <row r="48" spans="1:21" s="233" customFormat="1" ht="36" customHeight="1">
      <c r="A48" s="777"/>
      <c r="B48" s="774"/>
      <c r="C48" s="765"/>
      <c r="D48" s="657" t="s">
        <v>6</v>
      </c>
      <c r="E48" s="658">
        <f>F48+G48+H48+I48+J48+K48</f>
        <v>1646.4</v>
      </c>
      <c r="F48" s="659">
        <f t="shared" si="9"/>
        <v>0</v>
      </c>
      <c r="G48" s="659">
        <f t="shared" si="9"/>
        <v>0</v>
      </c>
      <c r="H48" s="659">
        <f t="shared" si="9"/>
        <v>0</v>
      </c>
      <c r="I48" s="659">
        <f t="shared" si="9"/>
        <v>1646.4</v>
      </c>
      <c r="J48" s="659">
        <f t="shared" si="9"/>
        <v>0</v>
      </c>
      <c r="K48" s="659">
        <f t="shared" si="9"/>
        <v>0</v>
      </c>
      <c r="L48" s="824"/>
      <c r="M48" s="873"/>
      <c r="N48" s="873"/>
      <c r="O48" s="873"/>
      <c r="P48" s="873"/>
      <c r="Q48" s="873"/>
      <c r="R48" s="873"/>
      <c r="S48" s="870"/>
      <c r="T48" s="509"/>
      <c r="U48" s="509"/>
    </row>
    <row r="49" spans="1:21" s="233" customFormat="1" ht="27.75" customHeight="1">
      <c r="A49" s="775" t="s">
        <v>82</v>
      </c>
      <c r="B49" s="772" t="s">
        <v>514</v>
      </c>
      <c r="C49" s="765"/>
      <c r="D49" s="655" t="s">
        <v>418</v>
      </c>
      <c r="E49" s="656">
        <f>E50+E51</f>
        <v>2509.8</v>
      </c>
      <c r="F49" s="656">
        <f aca="true" t="shared" si="10" ref="F49:K49">F50+F51</f>
        <v>0</v>
      </c>
      <c r="G49" s="656">
        <f t="shared" si="10"/>
        <v>0</v>
      </c>
      <c r="H49" s="656">
        <f t="shared" si="10"/>
        <v>0</v>
      </c>
      <c r="I49" s="656">
        <f t="shared" si="10"/>
        <v>2509.8</v>
      </c>
      <c r="J49" s="656">
        <f t="shared" si="10"/>
        <v>0</v>
      </c>
      <c r="K49" s="656">
        <f t="shared" si="10"/>
        <v>0</v>
      </c>
      <c r="L49" s="879" t="s">
        <v>517</v>
      </c>
      <c r="M49" s="871" t="s">
        <v>213</v>
      </c>
      <c r="N49" s="871" t="s">
        <v>213</v>
      </c>
      <c r="O49" s="871" t="s">
        <v>213</v>
      </c>
      <c r="P49" s="871" t="s">
        <v>236</v>
      </c>
      <c r="Q49" s="871" t="s">
        <v>213</v>
      </c>
      <c r="R49" s="871" t="s">
        <v>213</v>
      </c>
      <c r="S49" s="684" t="s">
        <v>146</v>
      </c>
      <c r="T49" s="509"/>
      <c r="U49" s="509"/>
    </row>
    <row r="50" spans="1:21" s="233" customFormat="1" ht="27.75" customHeight="1">
      <c r="A50" s="776"/>
      <c r="B50" s="877"/>
      <c r="C50" s="765"/>
      <c r="D50" s="670" t="s">
        <v>5</v>
      </c>
      <c r="E50" s="658">
        <f aca="true" t="shared" si="11" ref="E50:E57">F50+G50+H50+I50+J50+K50</f>
        <v>863.4</v>
      </c>
      <c r="F50" s="659">
        <v>0</v>
      </c>
      <c r="G50" s="659">
        <v>0</v>
      </c>
      <c r="H50" s="659">
        <v>0</v>
      </c>
      <c r="I50" s="659">
        <v>863.4</v>
      </c>
      <c r="J50" s="659">
        <v>0</v>
      </c>
      <c r="K50" s="659">
        <v>0</v>
      </c>
      <c r="L50" s="880"/>
      <c r="M50" s="876"/>
      <c r="N50" s="876"/>
      <c r="O50" s="876"/>
      <c r="P50" s="876"/>
      <c r="Q50" s="876"/>
      <c r="R50" s="876"/>
      <c r="S50" s="667"/>
      <c r="T50" s="509"/>
      <c r="U50" s="509"/>
    </row>
    <row r="51" spans="1:21" s="233" customFormat="1" ht="54" customHeight="1">
      <c r="A51" s="777"/>
      <c r="B51" s="878"/>
      <c r="C51" s="765"/>
      <c r="D51" s="670" t="s">
        <v>6</v>
      </c>
      <c r="E51" s="658">
        <f t="shared" si="11"/>
        <v>1646.4</v>
      </c>
      <c r="F51" s="659">
        <v>0</v>
      </c>
      <c r="G51" s="659">
        <v>0</v>
      </c>
      <c r="H51" s="659">
        <v>0</v>
      </c>
      <c r="I51" s="659">
        <v>1646.4</v>
      </c>
      <c r="J51" s="659">
        <v>0</v>
      </c>
      <c r="K51" s="659">
        <v>0</v>
      </c>
      <c r="L51" s="666" t="s">
        <v>516</v>
      </c>
      <c r="M51" s="664" t="s">
        <v>213</v>
      </c>
      <c r="N51" s="664" t="s">
        <v>213</v>
      </c>
      <c r="O51" s="664" t="s">
        <v>213</v>
      </c>
      <c r="P51" s="664" t="s">
        <v>236</v>
      </c>
      <c r="Q51" s="664" t="s">
        <v>213</v>
      </c>
      <c r="R51" s="664" t="s">
        <v>213</v>
      </c>
      <c r="S51" s="668"/>
      <c r="T51" s="509"/>
      <c r="U51" s="509"/>
    </row>
    <row r="52" spans="1:21" s="233" customFormat="1" ht="24" customHeight="1">
      <c r="A52" s="882" t="s">
        <v>85</v>
      </c>
      <c r="B52" s="881" t="s">
        <v>515</v>
      </c>
      <c r="C52" s="765"/>
      <c r="D52" s="687" t="s">
        <v>418</v>
      </c>
      <c r="E52" s="686">
        <f t="shared" si="11"/>
        <v>8612.33</v>
      </c>
      <c r="F52" s="690">
        <f aca="true" t="shared" si="12" ref="F52:K53">F55+F58+F61+F64</f>
        <v>2209.5</v>
      </c>
      <c r="G52" s="686">
        <f t="shared" si="12"/>
        <v>1866.62</v>
      </c>
      <c r="H52" s="686">
        <f t="shared" si="12"/>
        <v>646.21</v>
      </c>
      <c r="I52" s="686">
        <f t="shared" si="12"/>
        <v>3340</v>
      </c>
      <c r="J52" s="686">
        <f t="shared" si="12"/>
        <v>550</v>
      </c>
      <c r="K52" s="686">
        <f t="shared" si="12"/>
        <v>0</v>
      </c>
      <c r="L52" s="868"/>
      <c r="M52" s="762"/>
      <c r="N52" s="762"/>
      <c r="O52" s="762"/>
      <c r="P52" s="762"/>
      <c r="Q52" s="762"/>
      <c r="R52" s="762"/>
      <c r="S52" s="795"/>
      <c r="T52" s="509"/>
      <c r="U52" s="509"/>
    </row>
    <row r="53" spans="1:21" s="233" customFormat="1" ht="17.25" customHeight="1">
      <c r="A53" s="776"/>
      <c r="B53" s="773"/>
      <c r="C53" s="765"/>
      <c r="D53" s="688" t="s">
        <v>5</v>
      </c>
      <c r="E53" s="672">
        <f t="shared" si="11"/>
        <v>8612.33</v>
      </c>
      <c r="F53" s="673">
        <f t="shared" si="12"/>
        <v>2209.5</v>
      </c>
      <c r="G53" s="672">
        <f t="shared" si="12"/>
        <v>1866.62</v>
      </c>
      <c r="H53" s="672">
        <f t="shared" si="12"/>
        <v>646.21</v>
      </c>
      <c r="I53" s="672">
        <f t="shared" si="12"/>
        <v>3340</v>
      </c>
      <c r="J53" s="672">
        <f t="shared" si="12"/>
        <v>550</v>
      </c>
      <c r="K53" s="672">
        <f t="shared" si="12"/>
        <v>0</v>
      </c>
      <c r="L53" s="776"/>
      <c r="M53" s="763"/>
      <c r="N53" s="763"/>
      <c r="O53" s="763"/>
      <c r="P53" s="763"/>
      <c r="Q53" s="763"/>
      <c r="R53" s="763"/>
      <c r="S53" s="796"/>
      <c r="T53" s="509"/>
      <c r="U53" s="509"/>
    </row>
    <row r="54" spans="1:21" s="233" customFormat="1" ht="15" customHeight="1">
      <c r="A54" s="776"/>
      <c r="B54" s="773"/>
      <c r="C54" s="765"/>
      <c r="D54" s="689" t="s">
        <v>6</v>
      </c>
      <c r="E54" s="669">
        <f t="shared" si="11"/>
        <v>0</v>
      </c>
      <c r="F54" s="675">
        <f aca="true" t="shared" si="13" ref="F54:K54">F57+F60+F66</f>
        <v>0</v>
      </c>
      <c r="G54" s="669">
        <f t="shared" si="13"/>
        <v>0</v>
      </c>
      <c r="H54" s="669">
        <f t="shared" si="13"/>
        <v>0</v>
      </c>
      <c r="I54" s="669">
        <f t="shared" si="13"/>
        <v>0</v>
      </c>
      <c r="J54" s="669">
        <f t="shared" si="13"/>
        <v>0</v>
      </c>
      <c r="K54" s="669">
        <f t="shared" si="13"/>
        <v>0</v>
      </c>
      <c r="L54" s="777"/>
      <c r="M54" s="763"/>
      <c r="N54" s="763"/>
      <c r="O54" s="763"/>
      <c r="P54" s="763"/>
      <c r="Q54" s="763"/>
      <c r="R54" s="763"/>
      <c r="S54" s="797"/>
      <c r="T54" s="509"/>
      <c r="U54" s="509"/>
    </row>
    <row r="55" spans="1:21" s="233" customFormat="1" ht="24" customHeight="1">
      <c r="A55" s="776"/>
      <c r="B55" s="773"/>
      <c r="C55" s="765"/>
      <c r="D55" s="687" t="s">
        <v>418</v>
      </c>
      <c r="E55" s="686">
        <f t="shared" si="11"/>
        <v>7605.71</v>
      </c>
      <c r="F55" s="690">
        <f aca="true" t="shared" si="14" ref="F55:K55">F56+F57</f>
        <v>2209.5</v>
      </c>
      <c r="G55" s="686">
        <f t="shared" si="14"/>
        <v>1470</v>
      </c>
      <c r="H55" s="686">
        <f t="shared" si="14"/>
        <v>646.21</v>
      </c>
      <c r="I55" s="686">
        <f t="shared" si="14"/>
        <v>2730</v>
      </c>
      <c r="J55" s="686">
        <f t="shared" si="14"/>
        <v>550</v>
      </c>
      <c r="K55" s="686">
        <f t="shared" si="14"/>
        <v>0</v>
      </c>
      <c r="L55" s="868" t="s">
        <v>248</v>
      </c>
      <c r="M55" s="762" t="s">
        <v>213</v>
      </c>
      <c r="N55" s="762" t="s">
        <v>213</v>
      </c>
      <c r="O55" s="762" t="s">
        <v>213</v>
      </c>
      <c r="P55" s="762" t="s">
        <v>236</v>
      </c>
      <c r="Q55" s="762" t="s">
        <v>213</v>
      </c>
      <c r="R55" s="762" t="s">
        <v>213</v>
      </c>
      <c r="S55" s="795" t="s">
        <v>146</v>
      </c>
      <c r="T55" s="509"/>
      <c r="U55" s="509"/>
    </row>
    <row r="56" spans="1:21" s="233" customFormat="1" ht="17.25" customHeight="1">
      <c r="A56" s="776"/>
      <c r="B56" s="773"/>
      <c r="C56" s="765"/>
      <c r="D56" s="688" t="s">
        <v>5</v>
      </c>
      <c r="E56" s="672">
        <f t="shared" si="11"/>
        <v>7605.71</v>
      </c>
      <c r="F56" s="673">
        <v>2209.5</v>
      </c>
      <c r="G56" s="672">
        <v>1470</v>
      </c>
      <c r="H56" s="672">
        <v>646.21</v>
      </c>
      <c r="I56" s="671">
        <v>2730</v>
      </c>
      <c r="J56" s="672">
        <v>550</v>
      </c>
      <c r="K56" s="673">
        <v>0</v>
      </c>
      <c r="L56" s="776"/>
      <c r="M56" s="763"/>
      <c r="N56" s="763"/>
      <c r="O56" s="763"/>
      <c r="P56" s="763"/>
      <c r="Q56" s="763"/>
      <c r="R56" s="763"/>
      <c r="S56" s="796"/>
      <c r="T56" s="509"/>
      <c r="U56" s="509"/>
    </row>
    <row r="57" spans="1:21" s="233" customFormat="1" ht="15" customHeight="1">
      <c r="A57" s="776"/>
      <c r="B57" s="773"/>
      <c r="C57" s="765"/>
      <c r="D57" s="689" t="s">
        <v>6</v>
      </c>
      <c r="E57" s="669">
        <f t="shared" si="11"/>
        <v>0</v>
      </c>
      <c r="F57" s="675">
        <v>0</v>
      </c>
      <c r="G57" s="669">
        <v>0</v>
      </c>
      <c r="H57" s="669">
        <v>0</v>
      </c>
      <c r="I57" s="674">
        <v>0</v>
      </c>
      <c r="J57" s="669">
        <v>0</v>
      </c>
      <c r="K57" s="675">
        <v>0</v>
      </c>
      <c r="L57" s="776"/>
      <c r="M57" s="763"/>
      <c r="N57" s="763"/>
      <c r="O57" s="763"/>
      <c r="P57" s="763"/>
      <c r="Q57" s="763"/>
      <c r="R57" s="763"/>
      <c r="S57" s="797"/>
      <c r="T57" s="509"/>
      <c r="U57" s="509"/>
    </row>
    <row r="58" spans="1:21" s="233" customFormat="1" ht="20.25" customHeight="1">
      <c r="A58" s="776"/>
      <c r="B58" s="773"/>
      <c r="C58" s="765"/>
      <c r="D58" s="655" t="s">
        <v>418</v>
      </c>
      <c r="E58" s="691">
        <f aca="true" t="shared" si="15" ref="E58:K58">E59+E60</f>
        <v>575</v>
      </c>
      <c r="F58" s="656">
        <f t="shared" si="15"/>
        <v>0</v>
      </c>
      <c r="G58" s="656">
        <f t="shared" si="15"/>
        <v>275</v>
      </c>
      <c r="H58" s="656">
        <f t="shared" si="15"/>
        <v>0</v>
      </c>
      <c r="I58" s="656">
        <f t="shared" si="15"/>
        <v>300</v>
      </c>
      <c r="J58" s="656">
        <f t="shared" si="15"/>
        <v>0</v>
      </c>
      <c r="K58" s="656">
        <f t="shared" si="15"/>
        <v>0</v>
      </c>
      <c r="L58" s="776"/>
      <c r="M58" s="871" t="s">
        <v>213</v>
      </c>
      <c r="N58" s="871" t="s">
        <v>236</v>
      </c>
      <c r="O58" s="871" t="s">
        <v>213</v>
      </c>
      <c r="P58" s="871" t="s">
        <v>213</v>
      </c>
      <c r="Q58" s="871" t="s">
        <v>213</v>
      </c>
      <c r="R58" s="871" t="s">
        <v>213</v>
      </c>
      <c r="S58" s="868" t="s">
        <v>51</v>
      </c>
      <c r="T58" s="509"/>
      <c r="U58" s="509"/>
    </row>
    <row r="59" spans="1:21" s="233" customFormat="1" ht="12" customHeight="1">
      <c r="A59" s="776"/>
      <c r="B59" s="773"/>
      <c r="C59" s="765"/>
      <c r="D59" s="680" t="s">
        <v>5</v>
      </c>
      <c r="E59" s="658">
        <f>F59+G59+H59+I59+J59+K59</f>
        <v>575</v>
      </c>
      <c r="F59" s="659">
        <v>0</v>
      </c>
      <c r="G59" s="659">
        <v>275</v>
      </c>
      <c r="H59" s="659">
        <v>0</v>
      </c>
      <c r="I59" s="660">
        <v>300</v>
      </c>
      <c r="J59" s="660">
        <v>0</v>
      </c>
      <c r="K59" s="660">
        <v>0</v>
      </c>
      <c r="L59" s="776"/>
      <c r="M59" s="872"/>
      <c r="N59" s="872"/>
      <c r="O59" s="872"/>
      <c r="P59" s="872"/>
      <c r="Q59" s="872"/>
      <c r="R59" s="872"/>
      <c r="S59" s="869"/>
      <c r="T59" s="509"/>
      <c r="U59" s="509"/>
    </row>
    <row r="60" spans="1:21" s="233" customFormat="1" ht="12" customHeight="1">
      <c r="A60" s="776"/>
      <c r="B60" s="773"/>
      <c r="C60" s="765"/>
      <c r="D60" s="680" t="s">
        <v>6</v>
      </c>
      <c r="E60" s="658">
        <f>F60+G60+H60+I60+J60+K60</f>
        <v>0</v>
      </c>
      <c r="F60" s="659">
        <v>0</v>
      </c>
      <c r="G60" s="659">
        <v>0</v>
      </c>
      <c r="H60" s="659">
        <v>0</v>
      </c>
      <c r="I60" s="659">
        <v>0</v>
      </c>
      <c r="J60" s="659">
        <v>0</v>
      </c>
      <c r="K60" s="659">
        <v>0</v>
      </c>
      <c r="L60" s="776"/>
      <c r="M60" s="873"/>
      <c r="N60" s="873"/>
      <c r="O60" s="873"/>
      <c r="P60" s="873"/>
      <c r="Q60" s="873"/>
      <c r="R60" s="873"/>
      <c r="S60" s="870"/>
      <c r="T60" s="509"/>
      <c r="U60" s="509"/>
    </row>
    <row r="61" spans="1:21" s="233" customFormat="1" ht="20.25" customHeight="1">
      <c r="A61" s="776"/>
      <c r="B61" s="773"/>
      <c r="C61" s="765"/>
      <c r="D61" s="655" t="s">
        <v>530</v>
      </c>
      <c r="E61" s="656">
        <f aca="true" t="shared" si="16" ref="E61:K61">E62+E63</f>
        <v>121.62</v>
      </c>
      <c r="F61" s="656">
        <f t="shared" si="16"/>
        <v>0</v>
      </c>
      <c r="G61" s="656">
        <f t="shared" si="16"/>
        <v>121.62</v>
      </c>
      <c r="H61" s="656">
        <f t="shared" si="16"/>
        <v>0</v>
      </c>
      <c r="I61" s="656">
        <f t="shared" si="16"/>
        <v>0</v>
      </c>
      <c r="J61" s="656">
        <f t="shared" si="16"/>
        <v>0</v>
      </c>
      <c r="K61" s="656">
        <f t="shared" si="16"/>
        <v>0</v>
      </c>
      <c r="L61" s="776"/>
      <c r="M61" s="871" t="s">
        <v>213</v>
      </c>
      <c r="N61" s="871" t="s">
        <v>236</v>
      </c>
      <c r="O61" s="871" t="s">
        <v>213</v>
      </c>
      <c r="P61" s="871" t="s">
        <v>213</v>
      </c>
      <c r="Q61" s="871" t="s">
        <v>213</v>
      </c>
      <c r="R61" s="871" t="s">
        <v>213</v>
      </c>
      <c r="S61" s="868" t="s">
        <v>499</v>
      </c>
      <c r="T61" s="509"/>
      <c r="U61" s="509"/>
    </row>
    <row r="62" spans="1:21" s="233" customFormat="1" ht="12" customHeight="1">
      <c r="A62" s="776"/>
      <c r="B62" s="773"/>
      <c r="C62" s="765"/>
      <c r="D62" s="680" t="s">
        <v>5</v>
      </c>
      <c r="E62" s="658">
        <f>F62+G62+H62+I62+J62+K62</f>
        <v>121.62</v>
      </c>
      <c r="F62" s="659">
        <v>0</v>
      </c>
      <c r="G62" s="659">
        <v>121.62</v>
      </c>
      <c r="H62" s="659">
        <v>0</v>
      </c>
      <c r="I62" s="660">
        <v>0</v>
      </c>
      <c r="J62" s="660">
        <v>0</v>
      </c>
      <c r="K62" s="660">
        <v>0</v>
      </c>
      <c r="L62" s="776"/>
      <c r="M62" s="872"/>
      <c r="N62" s="872"/>
      <c r="O62" s="872"/>
      <c r="P62" s="872"/>
      <c r="Q62" s="872"/>
      <c r="R62" s="872"/>
      <c r="S62" s="869"/>
      <c r="T62" s="509"/>
      <c r="U62" s="509"/>
    </row>
    <row r="63" spans="1:21" s="233" customFormat="1" ht="12" customHeight="1">
      <c r="A63" s="776"/>
      <c r="B63" s="773"/>
      <c r="C63" s="765"/>
      <c r="D63" s="680" t="s">
        <v>6</v>
      </c>
      <c r="E63" s="658">
        <f>F63+G63+H63+I63+J63+K63</f>
        <v>0</v>
      </c>
      <c r="F63" s="659">
        <v>0</v>
      </c>
      <c r="G63" s="659">
        <v>0</v>
      </c>
      <c r="H63" s="659">
        <v>0</v>
      </c>
      <c r="I63" s="659">
        <v>0</v>
      </c>
      <c r="J63" s="659">
        <v>0</v>
      </c>
      <c r="K63" s="659">
        <v>0</v>
      </c>
      <c r="L63" s="776"/>
      <c r="M63" s="873"/>
      <c r="N63" s="873"/>
      <c r="O63" s="873"/>
      <c r="P63" s="873"/>
      <c r="Q63" s="873"/>
      <c r="R63" s="873"/>
      <c r="S63" s="870"/>
      <c r="T63" s="509"/>
      <c r="U63" s="509"/>
    </row>
    <row r="64" spans="1:21" s="233" customFormat="1" ht="21" customHeight="1">
      <c r="A64" s="776"/>
      <c r="B64" s="773"/>
      <c r="C64" s="765"/>
      <c r="D64" s="655" t="s">
        <v>418</v>
      </c>
      <c r="E64" s="656">
        <f aca="true" t="shared" si="17" ref="E64:K64">E65+E66</f>
        <v>310</v>
      </c>
      <c r="F64" s="656">
        <f t="shared" si="17"/>
        <v>0</v>
      </c>
      <c r="G64" s="656">
        <f t="shared" si="17"/>
        <v>0</v>
      </c>
      <c r="H64" s="656">
        <f t="shared" si="17"/>
        <v>0</v>
      </c>
      <c r="I64" s="656">
        <f t="shared" si="17"/>
        <v>310</v>
      </c>
      <c r="J64" s="656">
        <f t="shared" si="17"/>
        <v>0</v>
      </c>
      <c r="K64" s="656">
        <f t="shared" si="17"/>
        <v>0</v>
      </c>
      <c r="L64" s="776"/>
      <c r="M64" s="871" t="s">
        <v>213</v>
      </c>
      <c r="N64" s="871" t="s">
        <v>213</v>
      </c>
      <c r="O64" s="871" t="s">
        <v>213</v>
      </c>
      <c r="P64" s="871" t="s">
        <v>236</v>
      </c>
      <c r="Q64" s="871" t="s">
        <v>213</v>
      </c>
      <c r="R64" s="871" t="s">
        <v>213</v>
      </c>
      <c r="S64" s="868" t="s">
        <v>507</v>
      </c>
      <c r="T64" s="509"/>
      <c r="U64" s="509"/>
    </row>
    <row r="65" spans="1:21" s="233" customFormat="1" ht="12" customHeight="1">
      <c r="A65" s="776"/>
      <c r="B65" s="773"/>
      <c r="C65" s="765"/>
      <c r="D65" s="680" t="s">
        <v>5</v>
      </c>
      <c r="E65" s="658">
        <f>F65+G65+H65+I65+J65+K65</f>
        <v>310</v>
      </c>
      <c r="F65" s="659">
        <v>0</v>
      </c>
      <c r="G65" s="659">
        <v>0</v>
      </c>
      <c r="H65" s="659">
        <v>0</v>
      </c>
      <c r="I65" s="660">
        <f>200+110</f>
        <v>310</v>
      </c>
      <c r="J65" s="660">
        <v>0</v>
      </c>
      <c r="K65" s="660">
        <v>0</v>
      </c>
      <c r="L65" s="776"/>
      <c r="M65" s="872"/>
      <c r="N65" s="872"/>
      <c r="O65" s="872"/>
      <c r="P65" s="872"/>
      <c r="Q65" s="872"/>
      <c r="R65" s="872"/>
      <c r="S65" s="869"/>
      <c r="T65" s="509"/>
      <c r="U65" s="509"/>
    </row>
    <row r="66" spans="1:21" s="233" customFormat="1" ht="12" customHeight="1">
      <c r="A66" s="777"/>
      <c r="B66" s="774"/>
      <c r="C66" s="765"/>
      <c r="D66" s="680" t="s">
        <v>6</v>
      </c>
      <c r="E66" s="658">
        <f>F66+G66+H66+I66+J66+K66</f>
        <v>0</v>
      </c>
      <c r="F66" s="659">
        <v>0</v>
      </c>
      <c r="G66" s="659">
        <v>0</v>
      </c>
      <c r="H66" s="659">
        <v>0</v>
      </c>
      <c r="I66" s="659">
        <v>0</v>
      </c>
      <c r="J66" s="659">
        <v>0</v>
      </c>
      <c r="K66" s="659">
        <v>0</v>
      </c>
      <c r="L66" s="777"/>
      <c r="M66" s="873"/>
      <c r="N66" s="873"/>
      <c r="O66" s="873"/>
      <c r="P66" s="873"/>
      <c r="Q66" s="873"/>
      <c r="R66" s="873"/>
      <c r="S66" s="870"/>
      <c r="T66" s="509"/>
      <c r="U66" s="509"/>
    </row>
    <row r="67" spans="1:19" s="682" customFormat="1" ht="21" customHeight="1">
      <c r="A67" s="767" t="s">
        <v>138</v>
      </c>
      <c r="B67" s="768" t="s">
        <v>527</v>
      </c>
      <c r="C67" s="765"/>
      <c r="D67" s="685" t="s">
        <v>418</v>
      </c>
      <c r="E67" s="681">
        <f aca="true" t="shared" si="18" ref="E67:K67">E68+E69</f>
        <v>78.5</v>
      </c>
      <c r="F67" s="681">
        <f t="shared" si="18"/>
        <v>0</v>
      </c>
      <c r="G67" s="681">
        <f t="shared" si="18"/>
        <v>0</v>
      </c>
      <c r="H67" s="681">
        <f t="shared" si="18"/>
        <v>0</v>
      </c>
      <c r="I67" s="681">
        <f t="shared" si="18"/>
        <v>78.5</v>
      </c>
      <c r="J67" s="681">
        <f t="shared" si="18"/>
        <v>0</v>
      </c>
      <c r="K67" s="681">
        <f t="shared" si="18"/>
        <v>0</v>
      </c>
      <c r="L67" s="769" t="s">
        <v>528</v>
      </c>
      <c r="M67" s="758">
        <v>0</v>
      </c>
      <c r="N67" s="758">
        <v>0</v>
      </c>
      <c r="O67" s="758">
        <v>0</v>
      </c>
      <c r="P67" s="758">
        <v>100</v>
      </c>
      <c r="Q67" s="758">
        <v>0</v>
      </c>
      <c r="R67" s="758">
        <v>0</v>
      </c>
      <c r="S67" s="761" t="s">
        <v>529</v>
      </c>
    </row>
    <row r="68" spans="1:19" s="682" customFormat="1" ht="12.75" customHeight="1">
      <c r="A68" s="767"/>
      <c r="B68" s="768"/>
      <c r="C68" s="765"/>
      <c r="D68" s="676" t="s">
        <v>5</v>
      </c>
      <c r="E68" s="678">
        <f>F68+G68+H68+I68+J68+K68</f>
        <v>78.5</v>
      </c>
      <c r="F68" s="678">
        <v>0</v>
      </c>
      <c r="G68" s="678">
        <v>0</v>
      </c>
      <c r="H68" s="678">
        <v>0</v>
      </c>
      <c r="I68" s="678">
        <v>78.5</v>
      </c>
      <c r="J68" s="678">
        <v>0</v>
      </c>
      <c r="K68" s="678">
        <v>0</v>
      </c>
      <c r="L68" s="770"/>
      <c r="M68" s="759"/>
      <c r="N68" s="759"/>
      <c r="O68" s="759"/>
      <c r="P68" s="759"/>
      <c r="Q68" s="759"/>
      <c r="R68" s="759"/>
      <c r="S68" s="759"/>
    </row>
    <row r="69" spans="1:19" s="682" customFormat="1" ht="12.75" customHeight="1">
      <c r="A69" s="767"/>
      <c r="B69" s="768"/>
      <c r="C69" s="766"/>
      <c r="D69" s="677" t="s">
        <v>6</v>
      </c>
      <c r="E69" s="683">
        <f>F69+G69+H69+I69+J69+K69</f>
        <v>0</v>
      </c>
      <c r="F69" s="683">
        <v>0</v>
      </c>
      <c r="G69" s="683">
        <v>0</v>
      </c>
      <c r="H69" s="683">
        <v>0</v>
      </c>
      <c r="I69" s="683">
        <v>0</v>
      </c>
      <c r="J69" s="683">
        <v>0</v>
      </c>
      <c r="K69" s="683">
        <v>0</v>
      </c>
      <c r="L69" s="771"/>
      <c r="M69" s="760"/>
      <c r="N69" s="760"/>
      <c r="O69" s="760"/>
      <c r="P69" s="760"/>
      <c r="Q69" s="760"/>
      <c r="R69" s="760"/>
      <c r="S69" s="760"/>
    </row>
    <row r="70" spans="1:21" ht="12" customHeight="1">
      <c r="A70" s="811"/>
      <c r="B70" s="812" t="s">
        <v>13</v>
      </c>
      <c r="C70" s="813"/>
      <c r="D70" s="814" t="s">
        <v>296</v>
      </c>
      <c r="E70" s="816">
        <f aca="true" t="shared" si="19" ref="E70:K70">SUM(E72:E73)</f>
        <v>1024236.699</v>
      </c>
      <c r="F70" s="816">
        <f t="shared" si="19"/>
        <v>164366.81</v>
      </c>
      <c r="G70" s="816">
        <f t="shared" si="19"/>
        <v>154906.24000000002</v>
      </c>
      <c r="H70" s="816">
        <f t="shared" si="19"/>
        <v>160931.66999999998</v>
      </c>
      <c r="I70" s="816">
        <f t="shared" si="19"/>
        <v>184634.96999999997</v>
      </c>
      <c r="J70" s="816">
        <f t="shared" si="19"/>
        <v>173163.049</v>
      </c>
      <c r="K70" s="818">
        <f t="shared" si="19"/>
        <v>186233.96</v>
      </c>
      <c r="L70" s="826"/>
      <c r="M70" s="827"/>
      <c r="N70" s="827"/>
      <c r="O70" s="827"/>
      <c r="P70" s="827"/>
      <c r="Q70" s="827"/>
      <c r="R70" s="827"/>
      <c r="S70" s="828"/>
      <c r="T70" s="642"/>
      <c r="U70" s="508"/>
    </row>
    <row r="71" spans="1:21" ht="12" customHeight="1">
      <c r="A71" s="811"/>
      <c r="B71" s="812"/>
      <c r="C71" s="813"/>
      <c r="D71" s="815"/>
      <c r="E71" s="817"/>
      <c r="F71" s="817"/>
      <c r="G71" s="817"/>
      <c r="H71" s="817"/>
      <c r="I71" s="817"/>
      <c r="J71" s="817"/>
      <c r="K71" s="819"/>
      <c r="L71" s="829"/>
      <c r="M71" s="830"/>
      <c r="N71" s="830"/>
      <c r="O71" s="830"/>
      <c r="P71" s="830"/>
      <c r="Q71" s="830"/>
      <c r="R71" s="830"/>
      <c r="S71" s="831"/>
      <c r="T71" s="509"/>
      <c r="U71" s="508"/>
    </row>
    <row r="72" spans="1:21" ht="15.75" customHeight="1">
      <c r="A72" s="811"/>
      <c r="B72" s="812"/>
      <c r="C72" s="813"/>
      <c r="D72" s="661" t="s">
        <v>5</v>
      </c>
      <c r="E72" s="503">
        <f>SUM(F72:K72)</f>
        <v>331173.347</v>
      </c>
      <c r="F72" s="503">
        <f aca="true" t="shared" si="20" ref="F72:K72">F41+F35+F12+F47</f>
        <v>54136.11</v>
      </c>
      <c r="G72" s="503">
        <f t="shared" si="20"/>
        <v>52740.238000000005</v>
      </c>
      <c r="H72" s="503">
        <f t="shared" si="20"/>
        <v>49070.350000000006</v>
      </c>
      <c r="I72" s="503">
        <f t="shared" si="20"/>
        <v>63894.78999999999</v>
      </c>
      <c r="J72" s="503">
        <f t="shared" si="20"/>
        <v>51800.15900000001</v>
      </c>
      <c r="K72" s="503">
        <f t="shared" si="20"/>
        <v>59531.70000000001</v>
      </c>
      <c r="L72" s="829"/>
      <c r="M72" s="830"/>
      <c r="N72" s="830"/>
      <c r="O72" s="830"/>
      <c r="P72" s="830"/>
      <c r="Q72" s="830"/>
      <c r="R72" s="830"/>
      <c r="S72" s="831"/>
      <c r="T72" s="509"/>
      <c r="U72" s="508"/>
    </row>
    <row r="73" spans="1:21" ht="15.75" customHeight="1" thickBot="1">
      <c r="A73" s="811"/>
      <c r="B73" s="812"/>
      <c r="C73" s="813"/>
      <c r="D73" s="662" t="s">
        <v>6</v>
      </c>
      <c r="E73" s="663">
        <f>SUM(F73:K73)</f>
        <v>693063.352</v>
      </c>
      <c r="F73" s="663">
        <f aca="true" t="shared" si="21" ref="F73:K73">F42+F37+F13+F48</f>
        <v>110230.7</v>
      </c>
      <c r="G73" s="663">
        <f t="shared" si="21"/>
        <v>102166.00200000001</v>
      </c>
      <c r="H73" s="663">
        <f t="shared" si="21"/>
        <v>111861.31999999998</v>
      </c>
      <c r="I73" s="663">
        <f t="shared" si="21"/>
        <v>120740.18</v>
      </c>
      <c r="J73" s="663">
        <f t="shared" si="21"/>
        <v>121362.89</v>
      </c>
      <c r="K73" s="663">
        <f t="shared" si="21"/>
        <v>126702.25999999998</v>
      </c>
      <c r="L73" s="832"/>
      <c r="M73" s="833"/>
      <c r="N73" s="833"/>
      <c r="O73" s="833"/>
      <c r="P73" s="833"/>
      <c r="Q73" s="833"/>
      <c r="R73" s="833"/>
      <c r="S73" s="834"/>
      <c r="T73" s="509"/>
      <c r="U73" s="508"/>
    </row>
    <row r="74" spans="2:19" ht="18.75" customHeight="1">
      <c r="B74" s="233"/>
      <c r="C74" s="322"/>
      <c r="D74" s="323"/>
      <c r="E74" s="323"/>
      <c r="F74" s="323"/>
      <c r="G74" s="323"/>
      <c r="H74" s="323"/>
      <c r="I74" s="323"/>
      <c r="J74" s="323"/>
      <c r="K74" s="323"/>
      <c r="L74" s="324"/>
      <c r="M74" s="323"/>
      <c r="N74" s="323"/>
      <c r="O74" s="323"/>
      <c r="P74" s="323"/>
      <c r="Q74" s="323"/>
      <c r="R74" s="323"/>
      <c r="S74" s="325"/>
    </row>
    <row r="75" spans="2:19" ht="18.75" customHeight="1">
      <c r="B75" s="233"/>
      <c r="C75" s="322"/>
      <c r="D75" s="323"/>
      <c r="E75" s="323"/>
      <c r="F75" s="323"/>
      <c r="G75" s="323"/>
      <c r="H75" s="323"/>
      <c r="I75" s="323"/>
      <c r="J75" s="323"/>
      <c r="K75" s="323"/>
      <c r="L75" s="324"/>
      <c r="M75" s="323"/>
      <c r="N75" s="323"/>
      <c r="O75" s="323"/>
      <c r="P75" s="323"/>
      <c r="Q75" s="323"/>
      <c r="R75" s="323"/>
      <c r="S75" s="325"/>
    </row>
    <row r="76" spans="2:19" ht="18.75" customHeight="1">
      <c r="B76" s="233"/>
      <c r="C76" s="322"/>
      <c r="D76" s="323"/>
      <c r="E76" s="323"/>
      <c r="F76" s="326"/>
      <c r="G76" s="323"/>
      <c r="H76" s="323"/>
      <c r="I76" s="323"/>
      <c r="J76" s="323"/>
      <c r="K76" s="323"/>
      <c r="L76" s="324"/>
      <c r="M76" s="323"/>
      <c r="N76" s="323"/>
      <c r="O76" s="323"/>
      <c r="P76" s="323"/>
      <c r="Q76" s="323"/>
      <c r="R76" s="323"/>
      <c r="S76" s="325"/>
    </row>
    <row r="77" spans="2:19" ht="18.75" customHeight="1">
      <c r="B77" s="233"/>
      <c r="C77" s="322"/>
      <c r="D77" s="323"/>
      <c r="E77" s="323"/>
      <c r="F77" s="326"/>
      <c r="G77" s="326"/>
      <c r="H77" s="323"/>
      <c r="I77" s="326"/>
      <c r="J77" s="323"/>
      <c r="K77" s="323"/>
      <c r="L77" s="324"/>
      <c r="M77" s="323"/>
      <c r="N77" s="323"/>
      <c r="O77" s="323"/>
      <c r="P77" s="323"/>
      <c r="Q77" s="323"/>
      <c r="R77" s="323"/>
      <c r="S77" s="325"/>
    </row>
  </sheetData>
  <sheetProtection/>
  <mergeCells count="177">
    <mergeCell ref="S52:S54"/>
    <mergeCell ref="B52:B66"/>
    <mergeCell ref="A52:A66"/>
    <mergeCell ref="L52:L54"/>
    <mergeCell ref="S64:S66"/>
    <mergeCell ref="L55:L66"/>
    <mergeCell ref="M52:M54"/>
    <mergeCell ref="N52:N54"/>
    <mergeCell ref="O52:O54"/>
    <mergeCell ref="P52:P54"/>
    <mergeCell ref="M58:M60"/>
    <mergeCell ref="N58:N60"/>
    <mergeCell ref="Q52:Q54"/>
    <mergeCell ref="R52:R54"/>
    <mergeCell ref="M64:M66"/>
    <mergeCell ref="N64:N66"/>
    <mergeCell ref="O64:O66"/>
    <mergeCell ref="P64:P66"/>
    <mergeCell ref="Q64:Q66"/>
    <mergeCell ref="R64:R66"/>
    <mergeCell ref="M49:M50"/>
    <mergeCell ref="N49:N50"/>
    <mergeCell ref="O49:O50"/>
    <mergeCell ref="P49:P50"/>
    <mergeCell ref="S58:S60"/>
    <mergeCell ref="M61:M63"/>
    <mergeCell ref="N61:N63"/>
    <mergeCell ref="O61:O63"/>
    <mergeCell ref="P61:P63"/>
    <mergeCell ref="Q61:Q63"/>
    <mergeCell ref="R34:R38"/>
    <mergeCell ref="P43:P44"/>
    <mergeCell ref="P40:P42"/>
    <mergeCell ref="O46:O48"/>
    <mergeCell ref="Q58:Q60"/>
    <mergeCell ref="R58:R60"/>
    <mergeCell ref="R49:R50"/>
    <mergeCell ref="O58:O60"/>
    <mergeCell ref="P58:P60"/>
    <mergeCell ref="O24:O26"/>
    <mergeCell ref="M46:M48"/>
    <mergeCell ref="P24:P26"/>
    <mergeCell ref="P46:P48"/>
    <mergeCell ref="L30:L32"/>
    <mergeCell ref="Q49:Q50"/>
    <mergeCell ref="O34:O38"/>
    <mergeCell ref="P34:P38"/>
    <mergeCell ref="Q34:Q38"/>
    <mergeCell ref="L49:L50"/>
    <mergeCell ref="R24:R26"/>
    <mergeCell ref="L21:L23"/>
    <mergeCell ref="M21:M23"/>
    <mergeCell ref="N21:N23"/>
    <mergeCell ref="O21:O23"/>
    <mergeCell ref="P21:P23"/>
    <mergeCell ref="Q21:Q23"/>
    <mergeCell ref="L24:L26"/>
    <mergeCell ref="M24:M26"/>
    <mergeCell ref="N24:N26"/>
    <mergeCell ref="S46:S48"/>
    <mergeCell ref="N43:N44"/>
    <mergeCell ref="N46:N48"/>
    <mergeCell ref="M43:M44"/>
    <mergeCell ref="R40:R42"/>
    <mergeCell ref="Q46:Q48"/>
    <mergeCell ref="R46:R48"/>
    <mergeCell ref="N40:N42"/>
    <mergeCell ref="O40:O42"/>
    <mergeCell ref="A40:A44"/>
    <mergeCell ref="B40:B44"/>
    <mergeCell ref="C40:C44"/>
    <mergeCell ref="A34:A38"/>
    <mergeCell ref="C34:C38"/>
    <mergeCell ref="I35:I36"/>
    <mergeCell ref="B39:S39"/>
    <mergeCell ref="B34:B38"/>
    <mergeCell ref="L40:L42"/>
    <mergeCell ref="E35:E36"/>
    <mergeCell ref="L34:L38"/>
    <mergeCell ref="M34:M38"/>
    <mergeCell ref="N34:N38"/>
    <mergeCell ref="G35:G36"/>
    <mergeCell ref="H37:H38"/>
    <mergeCell ref="J35:J36"/>
    <mergeCell ref="D35:D36"/>
    <mergeCell ref="H35:H36"/>
    <mergeCell ref="F37:F38"/>
    <mergeCell ref="G37:G38"/>
    <mergeCell ref="F35:F36"/>
    <mergeCell ref="I37:I38"/>
    <mergeCell ref="S21:S23"/>
    <mergeCell ref="C11:C32"/>
    <mergeCell ref="B11:B15"/>
    <mergeCell ref="L15:L16"/>
    <mergeCell ref="M15:M16"/>
    <mergeCell ref="N15:N16"/>
    <mergeCell ref="O15:O16"/>
    <mergeCell ref="R21:R23"/>
    <mergeCell ref="Q24:Q26"/>
    <mergeCell ref="P30:P32"/>
    <mergeCell ref="S6:S7"/>
    <mergeCell ref="L6:R6"/>
    <mergeCell ref="I3:S3"/>
    <mergeCell ref="S14:S20"/>
    <mergeCell ref="E6:K6"/>
    <mergeCell ref="B9:S9"/>
    <mergeCell ref="B10:S10"/>
    <mergeCell ref="P15:P16"/>
    <mergeCell ref="A11:A15"/>
    <mergeCell ref="G1:S1"/>
    <mergeCell ref="A4:S4"/>
    <mergeCell ref="A6:A7"/>
    <mergeCell ref="B6:B7"/>
    <mergeCell ref="C6:C7"/>
    <mergeCell ref="Q15:Q16"/>
    <mergeCell ref="R15:R16"/>
    <mergeCell ref="L2:S2"/>
    <mergeCell ref="D6:D7"/>
    <mergeCell ref="K70:K71"/>
    <mergeCell ref="S34:S38"/>
    <mergeCell ref="M40:M42"/>
    <mergeCell ref="Q40:Q42"/>
    <mergeCell ref="B45:S45"/>
    <mergeCell ref="L46:L48"/>
    <mergeCell ref="K35:K36"/>
    <mergeCell ref="J37:J38"/>
    <mergeCell ref="L70:S73"/>
    <mergeCell ref="D37:D38"/>
    <mergeCell ref="A70:A73"/>
    <mergeCell ref="B70:B73"/>
    <mergeCell ref="C70:C73"/>
    <mergeCell ref="D70:D71"/>
    <mergeCell ref="E70:E71"/>
    <mergeCell ref="J70:J71"/>
    <mergeCell ref="F70:F71"/>
    <mergeCell ref="G70:G71"/>
    <mergeCell ref="I70:I71"/>
    <mergeCell ref="H70:H71"/>
    <mergeCell ref="S30:S32"/>
    <mergeCell ref="O43:O44"/>
    <mergeCell ref="B33:S33"/>
    <mergeCell ref="L43:L44"/>
    <mergeCell ref="S40:S44"/>
    <mergeCell ref="R30:R32"/>
    <mergeCell ref="K37:K38"/>
    <mergeCell ref="N30:N32"/>
    <mergeCell ref="Q30:Q32"/>
    <mergeCell ref="E37:E38"/>
    <mergeCell ref="T6:T7"/>
    <mergeCell ref="L11:S13"/>
    <mergeCell ref="L27:L29"/>
    <mergeCell ref="M30:M32"/>
    <mergeCell ref="O30:O32"/>
    <mergeCell ref="S55:S57"/>
    <mergeCell ref="M55:M57"/>
    <mergeCell ref="N55:N57"/>
    <mergeCell ref="O55:O57"/>
    <mergeCell ref="P55:P57"/>
    <mergeCell ref="C46:C69"/>
    <mergeCell ref="A67:A69"/>
    <mergeCell ref="B67:B69"/>
    <mergeCell ref="L67:L69"/>
    <mergeCell ref="M67:M69"/>
    <mergeCell ref="N67:N69"/>
    <mergeCell ref="B46:B48"/>
    <mergeCell ref="A46:A48"/>
    <mergeCell ref="A49:A51"/>
    <mergeCell ref="B49:B51"/>
    <mergeCell ref="O67:O69"/>
    <mergeCell ref="P67:P69"/>
    <mergeCell ref="Q67:Q69"/>
    <mergeCell ref="R67:R69"/>
    <mergeCell ref="S67:S69"/>
    <mergeCell ref="Q55:Q57"/>
    <mergeCell ref="R55:R57"/>
    <mergeCell ref="R61:R63"/>
    <mergeCell ref="S61:S63"/>
  </mergeCells>
  <printOptions horizont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840" t="s">
        <v>404</v>
      </c>
      <c r="H1" s="840"/>
      <c r="I1" s="840"/>
      <c r="J1" s="840"/>
      <c r="K1" s="840"/>
      <c r="L1" s="840"/>
      <c r="M1" s="840"/>
      <c r="N1" s="840"/>
      <c r="O1" s="840"/>
      <c r="P1" s="840"/>
      <c r="Q1" s="840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850" t="s">
        <v>403</v>
      </c>
      <c r="L2" s="850"/>
      <c r="M2" s="850"/>
      <c r="N2" s="850"/>
      <c r="O2" s="850"/>
      <c r="P2" s="850"/>
      <c r="Q2" s="850"/>
    </row>
    <row r="3" spans="1:17" ht="28.5" customHeight="1">
      <c r="A3" s="841" t="s">
        <v>402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842" t="s">
        <v>16</v>
      </c>
      <c r="B5" s="843" t="s">
        <v>15</v>
      </c>
      <c r="C5" s="842" t="s">
        <v>8</v>
      </c>
      <c r="D5" s="842" t="s">
        <v>9</v>
      </c>
      <c r="E5" s="847" t="s">
        <v>0</v>
      </c>
      <c r="F5" s="848"/>
      <c r="G5" s="848"/>
      <c r="H5" s="848"/>
      <c r="I5" s="848"/>
      <c r="J5" s="849"/>
      <c r="K5" s="847" t="s">
        <v>17</v>
      </c>
      <c r="L5" s="848"/>
      <c r="M5" s="848"/>
      <c r="N5" s="848"/>
      <c r="O5" s="848"/>
      <c r="P5" s="849"/>
      <c r="Q5" s="843" t="s">
        <v>14</v>
      </c>
    </row>
    <row r="6" spans="1:17" s="15" customFormat="1" ht="14.25" customHeight="1">
      <c r="A6" s="842"/>
      <c r="B6" s="844"/>
      <c r="C6" s="842"/>
      <c r="D6" s="842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844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853" t="s">
        <v>44</v>
      </c>
      <c r="C8" s="853"/>
      <c r="D8" s="853"/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</row>
    <row r="9" spans="1:17" ht="13.5" customHeight="1">
      <c r="A9" s="20">
        <v>1</v>
      </c>
      <c r="B9" s="854" t="s">
        <v>79</v>
      </c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54"/>
      <c r="O9" s="854"/>
      <c r="P9" s="854"/>
      <c r="Q9" s="854"/>
    </row>
    <row r="10" spans="1:17" ht="22.5" customHeight="1">
      <c r="A10" s="837" t="s">
        <v>19</v>
      </c>
      <c r="B10" s="883" t="s">
        <v>45</v>
      </c>
      <c r="C10" s="882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885" t="s">
        <v>248</v>
      </c>
      <c r="L10" s="887" t="s">
        <v>236</v>
      </c>
      <c r="M10" s="887" t="s">
        <v>236</v>
      </c>
      <c r="N10" s="887" t="s">
        <v>213</v>
      </c>
      <c r="O10" s="887" t="s">
        <v>213</v>
      </c>
      <c r="P10" s="887" t="s">
        <v>213</v>
      </c>
      <c r="Q10" s="887" t="s">
        <v>63</v>
      </c>
    </row>
    <row r="11" spans="1:17" ht="6.75" customHeight="1">
      <c r="A11" s="765"/>
      <c r="B11" s="884"/>
      <c r="C11" s="884"/>
      <c r="D11" s="889" t="s">
        <v>5</v>
      </c>
      <c r="E11" s="890">
        <f>SUM(F11:J12)</f>
        <v>10970.5</v>
      </c>
      <c r="F11" s="890">
        <f>16163-6362-120-300-620</f>
        <v>8761</v>
      </c>
      <c r="G11" s="890">
        <f>2359.5-150</f>
        <v>2209.5</v>
      </c>
      <c r="H11" s="890">
        <v>0</v>
      </c>
      <c r="I11" s="890">
        <v>0</v>
      </c>
      <c r="J11" s="890">
        <v>0</v>
      </c>
      <c r="K11" s="886"/>
      <c r="L11" s="886"/>
      <c r="M11" s="886"/>
      <c r="N11" s="886"/>
      <c r="O11" s="886"/>
      <c r="P11" s="886"/>
      <c r="Q11" s="888"/>
    </row>
    <row r="12" spans="1:17" ht="6.75" customHeight="1" thickBot="1">
      <c r="A12" s="765"/>
      <c r="B12" s="884"/>
      <c r="C12" s="884"/>
      <c r="D12" s="889"/>
      <c r="E12" s="890"/>
      <c r="F12" s="890"/>
      <c r="G12" s="890"/>
      <c r="H12" s="890"/>
      <c r="I12" s="890"/>
      <c r="J12" s="890"/>
      <c r="K12" s="886"/>
      <c r="L12" s="886"/>
      <c r="M12" s="886"/>
      <c r="N12" s="886"/>
      <c r="O12" s="886"/>
      <c r="P12" s="886"/>
      <c r="Q12" s="888"/>
    </row>
    <row r="13" spans="1:17" ht="15" customHeight="1">
      <c r="A13" s="895"/>
      <c r="B13" s="853" t="s">
        <v>23</v>
      </c>
      <c r="C13" s="898"/>
      <c r="D13" s="900" t="s">
        <v>249</v>
      </c>
      <c r="E13" s="902">
        <f>SUM(F13:J14)</f>
        <v>10970.5</v>
      </c>
      <c r="F13" s="902">
        <f>SUM(F15:F16)</f>
        <v>8761</v>
      </c>
      <c r="G13" s="902">
        <f>SUM(G15:G16)</f>
        <v>2209.5</v>
      </c>
      <c r="H13" s="902">
        <f>SUM(H15:H16)</f>
        <v>0</v>
      </c>
      <c r="I13" s="902">
        <f>SUM(I15:I16)</f>
        <v>0</v>
      </c>
      <c r="J13" s="907">
        <f>SUM(J15:J16)</f>
        <v>0</v>
      </c>
      <c r="K13" s="891"/>
      <c r="L13" s="893"/>
      <c r="M13" s="893"/>
      <c r="N13" s="893"/>
      <c r="O13" s="893"/>
      <c r="P13" s="893"/>
      <c r="Q13" s="893"/>
    </row>
    <row r="14" spans="1:17" ht="10.5" customHeight="1">
      <c r="A14" s="895"/>
      <c r="B14" s="853"/>
      <c r="C14" s="898"/>
      <c r="D14" s="901"/>
      <c r="E14" s="903"/>
      <c r="F14" s="903"/>
      <c r="G14" s="903"/>
      <c r="H14" s="903"/>
      <c r="I14" s="903"/>
      <c r="J14" s="908"/>
      <c r="K14" s="891"/>
      <c r="L14" s="893"/>
      <c r="M14" s="893"/>
      <c r="N14" s="893"/>
      <c r="O14" s="893"/>
      <c r="P14" s="893"/>
      <c r="Q14" s="893"/>
    </row>
    <row r="15" spans="1:17" ht="13.5" customHeight="1">
      <c r="A15" s="895"/>
      <c r="B15" s="853"/>
      <c r="C15" s="898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891"/>
      <c r="L15" s="893"/>
      <c r="M15" s="893"/>
      <c r="N15" s="893"/>
      <c r="O15" s="893"/>
      <c r="P15" s="893"/>
      <c r="Q15" s="893"/>
    </row>
    <row r="16" spans="1:17" ht="13.5" customHeight="1" thickBot="1">
      <c r="A16" s="896"/>
      <c r="B16" s="897"/>
      <c r="C16" s="899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892"/>
      <c r="L16" s="894"/>
      <c r="M16" s="894"/>
      <c r="N16" s="894"/>
      <c r="O16" s="894"/>
      <c r="P16" s="894"/>
      <c r="Q16" s="894"/>
    </row>
    <row r="17" spans="1:17" ht="16.5" customHeight="1">
      <c r="A17" s="16" t="s">
        <v>24</v>
      </c>
      <c r="B17" s="904" t="s">
        <v>80</v>
      </c>
      <c r="C17" s="905"/>
      <c r="D17" s="905"/>
      <c r="E17" s="905"/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6"/>
    </row>
    <row r="18" spans="1:17" ht="24" customHeight="1">
      <c r="A18" s="837" t="s">
        <v>26</v>
      </c>
      <c r="B18" s="883" t="s">
        <v>46</v>
      </c>
      <c r="C18" s="882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883" t="s">
        <v>250</v>
      </c>
      <c r="L18" s="887" t="s">
        <v>240</v>
      </c>
      <c r="M18" s="887" t="s">
        <v>240</v>
      </c>
      <c r="N18" s="887" t="s">
        <v>240</v>
      </c>
      <c r="O18" s="887" t="s">
        <v>240</v>
      </c>
      <c r="P18" s="887" t="s">
        <v>240</v>
      </c>
      <c r="Q18" s="837" t="s">
        <v>136</v>
      </c>
    </row>
    <row r="19" spans="1:17" ht="16.5" customHeight="1">
      <c r="A19" s="909"/>
      <c r="B19" s="911"/>
      <c r="C19" s="913"/>
      <c r="D19" s="919" t="s">
        <v>5</v>
      </c>
      <c r="E19" s="917">
        <f>SUM(F19:J20)</f>
        <v>978</v>
      </c>
      <c r="F19" s="917">
        <v>240</v>
      </c>
      <c r="G19" s="924">
        <f>200-62</f>
        <v>138</v>
      </c>
      <c r="H19" s="917">
        <v>200</v>
      </c>
      <c r="I19" s="917">
        <v>200</v>
      </c>
      <c r="J19" s="917">
        <v>200</v>
      </c>
      <c r="K19" s="911"/>
      <c r="L19" s="915"/>
      <c r="M19" s="915"/>
      <c r="N19" s="915"/>
      <c r="O19" s="915"/>
      <c r="P19" s="915"/>
      <c r="Q19" s="913"/>
    </row>
    <row r="20" spans="1:17" ht="6" customHeight="1">
      <c r="A20" s="909"/>
      <c r="B20" s="911"/>
      <c r="C20" s="913"/>
      <c r="D20" s="923"/>
      <c r="E20" s="918"/>
      <c r="F20" s="918"/>
      <c r="G20" s="925"/>
      <c r="H20" s="918"/>
      <c r="I20" s="918"/>
      <c r="J20" s="918"/>
      <c r="K20" s="911"/>
      <c r="L20" s="915"/>
      <c r="M20" s="915"/>
      <c r="N20" s="915"/>
      <c r="O20" s="915"/>
      <c r="P20" s="915"/>
      <c r="Q20" s="913"/>
    </row>
    <row r="21" spans="1:17" ht="16.5" customHeight="1">
      <c r="A21" s="909"/>
      <c r="B21" s="911"/>
      <c r="C21" s="913"/>
      <c r="D21" s="889" t="s">
        <v>6</v>
      </c>
      <c r="E21" s="917">
        <f>SUM(F21:J22)</f>
        <v>0</v>
      </c>
      <c r="F21" s="921">
        <v>0</v>
      </c>
      <c r="G21" s="921">
        <v>0</v>
      </c>
      <c r="H21" s="921">
        <v>0</v>
      </c>
      <c r="I21" s="921">
        <v>0</v>
      </c>
      <c r="J21" s="921">
        <v>0</v>
      </c>
      <c r="K21" s="911"/>
      <c r="L21" s="915"/>
      <c r="M21" s="915"/>
      <c r="N21" s="915"/>
      <c r="O21" s="915"/>
      <c r="P21" s="915"/>
      <c r="Q21" s="913"/>
    </row>
    <row r="22" spans="1:17" ht="8.25" customHeight="1" thickBot="1">
      <c r="A22" s="910"/>
      <c r="B22" s="912"/>
      <c r="C22" s="914"/>
      <c r="D22" s="919"/>
      <c r="E22" s="920"/>
      <c r="F22" s="922"/>
      <c r="G22" s="922"/>
      <c r="H22" s="922"/>
      <c r="I22" s="922"/>
      <c r="J22" s="922"/>
      <c r="K22" s="912"/>
      <c r="L22" s="916"/>
      <c r="M22" s="916"/>
      <c r="N22" s="916"/>
      <c r="O22" s="916"/>
      <c r="P22" s="916"/>
      <c r="Q22" s="914"/>
    </row>
    <row r="23" spans="1:17" ht="12.75" customHeight="1">
      <c r="A23" s="926"/>
      <c r="B23" s="853" t="s">
        <v>43</v>
      </c>
      <c r="C23" s="927"/>
      <c r="D23" s="900" t="s">
        <v>249</v>
      </c>
      <c r="E23" s="902">
        <f>SUM(F23:J24)</f>
        <v>978</v>
      </c>
      <c r="F23" s="902">
        <f>SUM(F19)</f>
        <v>240</v>
      </c>
      <c r="G23" s="902">
        <f>SUM(G19)</f>
        <v>138</v>
      </c>
      <c r="H23" s="902">
        <f>SUM(H19)</f>
        <v>200</v>
      </c>
      <c r="I23" s="902">
        <f>SUM(I19)</f>
        <v>200</v>
      </c>
      <c r="J23" s="907">
        <f>SUM(J19)</f>
        <v>200</v>
      </c>
      <c r="K23" s="891"/>
      <c r="L23" s="889"/>
      <c r="M23" s="889"/>
      <c r="N23" s="889"/>
      <c r="O23" s="889"/>
      <c r="P23" s="889"/>
      <c r="Q23" s="926"/>
    </row>
    <row r="24" spans="1:17" ht="9.75" customHeight="1">
      <c r="A24" s="926"/>
      <c r="B24" s="853"/>
      <c r="C24" s="927"/>
      <c r="D24" s="928"/>
      <c r="E24" s="903"/>
      <c r="F24" s="903"/>
      <c r="G24" s="903"/>
      <c r="H24" s="903"/>
      <c r="I24" s="903"/>
      <c r="J24" s="908"/>
      <c r="K24" s="891"/>
      <c r="L24" s="889"/>
      <c r="M24" s="889"/>
      <c r="N24" s="889"/>
      <c r="O24" s="889"/>
      <c r="P24" s="889"/>
      <c r="Q24" s="926"/>
    </row>
    <row r="25" spans="1:17" ht="12" customHeight="1">
      <c r="A25" s="926"/>
      <c r="B25" s="853"/>
      <c r="C25" s="927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891"/>
      <c r="L25" s="889"/>
      <c r="M25" s="889"/>
      <c r="N25" s="889"/>
      <c r="O25" s="889"/>
      <c r="P25" s="889"/>
      <c r="Q25" s="926"/>
    </row>
    <row r="26" spans="1:17" ht="11.25" customHeight="1" thickBot="1">
      <c r="A26" s="926"/>
      <c r="B26" s="853"/>
      <c r="C26" s="927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891"/>
      <c r="L26" s="889"/>
      <c r="M26" s="889"/>
      <c r="N26" s="889"/>
      <c r="O26" s="889"/>
      <c r="P26" s="889"/>
      <c r="Q26" s="926"/>
    </row>
    <row r="27" spans="1:17" ht="11.25" customHeight="1">
      <c r="A27" s="8" t="s">
        <v>28</v>
      </c>
      <c r="B27" s="904" t="s">
        <v>81</v>
      </c>
      <c r="C27" s="905"/>
      <c r="D27" s="905"/>
      <c r="E27" s="905"/>
      <c r="F27" s="905"/>
      <c r="G27" s="905"/>
      <c r="H27" s="905"/>
      <c r="I27" s="905"/>
      <c r="J27" s="905"/>
      <c r="K27" s="905"/>
      <c r="L27" s="905"/>
      <c r="M27" s="905"/>
      <c r="N27" s="905"/>
      <c r="O27" s="905"/>
      <c r="P27" s="905"/>
      <c r="Q27" s="906"/>
    </row>
    <row r="28" spans="1:17" ht="24" customHeight="1">
      <c r="A28" s="837" t="s">
        <v>30</v>
      </c>
      <c r="B28" s="929" t="s">
        <v>47</v>
      </c>
      <c r="C28" s="926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883" t="s">
        <v>256</v>
      </c>
      <c r="L28" s="887" t="s">
        <v>236</v>
      </c>
      <c r="M28" s="887" t="s">
        <v>236</v>
      </c>
      <c r="N28" s="887" t="s">
        <v>236</v>
      </c>
      <c r="O28" s="887" t="s">
        <v>236</v>
      </c>
      <c r="P28" s="887" t="s">
        <v>236</v>
      </c>
      <c r="Q28" s="837" t="s">
        <v>136</v>
      </c>
    </row>
    <row r="29" spans="1:17" ht="16.5" customHeight="1">
      <c r="A29" s="909"/>
      <c r="B29" s="930"/>
      <c r="C29" s="931"/>
      <c r="D29" s="919" t="s">
        <v>5</v>
      </c>
      <c r="E29" s="917">
        <f>SUM(F29:J32)</f>
        <v>210</v>
      </c>
      <c r="F29" s="917">
        <v>70</v>
      </c>
      <c r="G29" s="917">
        <v>35</v>
      </c>
      <c r="H29" s="917">
        <v>35</v>
      </c>
      <c r="I29" s="917">
        <v>35</v>
      </c>
      <c r="J29" s="917">
        <v>35</v>
      </c>
      <c r="K29" s="913"/>
      <c r="L29" s="932"/>
      <c r="M29" s="932"/>
      <c r="N29" s="932"/>
      <c r="O29" s="932"/>
      <c r="P29" s="932"/>
      <c r="Q29" s="909"/>
    </row>
    <row r="30" spans="1:17" ht="1.5" customHeight="1">
      <c r="A30" s="909"/>
      <c r="B30" s="930"/>
      <c r="C30" s="931"/>
      <c r="D30" s="937"/>
      <c r="E30" s="920"/>
      <c r="F30" s="920"/>
      <c r="G30" s="920"/>
      <c r="H30" s="920"/>
      <c r="I30" s="920"/>
      <c r="J30" s="920"/>
      <c r="K30" s="914"/>
      <c r="L30" s="933"/>
      <c r="M30" s="933"/>
      <c r="N30" s="933"/>
      <c r="O30" s="933"/>
      <c r="P30" s="933"/>
      <c r="Q30" s="909"/>
    </row>
    <row r="31" spans="1:17" ht="16.5" customHeight="1">
      <c r="A31" s="909"/>
      <c r="B31" s="930"/>
      <c r="C31" s="931"/>
      <c r="D31" s="937"/>
      <c r="E31" s="920"/>
      <c r="F31" s="920"/>
      <c r="G31" s="920"/>
      <c r="H31" s="920"/>
      <c r="I31" s="920"/>
      <c r="J31" s="920"/>
      <c r="K31" s="934" t="s">
        <v>257</v>
      </c>
      <c r="L31" s="935" t="s">
        <v>236</v>
      </c>
      <c r="M31" s="935" t="s">
        <v>236</v>
      </c>
      <c r="N31" s="935" t="s">
        <v>236</v>
      </c>
      <c r="O31" s="935" t="s">
        <v>236</v>
      </c>
      <c r="P31" s="935" t="s">
        <v>236</v>
      </c>
      <c r="Q31" s="909"/>
    </row>
    <row r="32" spans="1:17" ht="16.5" customHeight="1" thickBot="1">
      <c r="A32" s="910"/>
      <c r="B32" s="930"/>
      <c r="C32" s="931"/>
      <c r="D32" s="937"/>
      <c r="E32" s="920"/>
      <c r="F32" s="920"/>
      <c r="G32" s="920"/>
      <c r="H32" s="920"/>
      <c r="I32" s="920"/>
      <c r="J32" s="920"/>
      <c r="K32" s="934"/>
      <c r="L32" s="936"/>
      <c r="M32" s="936"/>
      <c r="N32" s="936"/>
      <c r="O32" s="936"/>
      <c r="P32" s="936"/>
      <c r="Q32" s="910"/>
    </row>
    <row r="33" spans="1:17" ht="10.5" customHeight="1">
      <c r="A33" s="926"/>
      <c r="B33" s="853" t="s">
        <v>33</v>
      </c>
      <c r="C33" s="927"/>
      <c r="D33" s="900" t="s">
        <v>249</v>
      </c>
      <c r="E33" s="902">
        <f>SUM(F33:J34)</f>
        <v>210</v>
      </c>
      <c r="F33" s="902">
        <f>SUM(F35:F36)</f>
        <v>70</v>
      </c>
      <c r="G33" s="902">
        <f>SUM(G35:G36)</f>
        <v>35</v>
      </c>
      <c r="H33" s="902">
        <f>SUM(H35:H36)</f>
        <v>35</v>
      </c>
      <c r="I33" s="902">
        <f>SUM(I35:I36)</f>
        <v>35</v>
      </c>
      <c r="J33" s="907">
        <f>SUM(J35:J36)</f>
        <v>35</v>
      </c>
      <c r="K33" s="891"/>
      <c r="L33" s="889"/>
      <c r="M33" s="889"/>
      <c r="N33" s="889"/>
      <c r="O33" s="889"/>
      <c r="P33" s="889"/>
      <c r="Q33" s="926"/>
    </row>
    <row r="34" spans="1:17" ht="10.5" customHeight="1">
      <c r="A34" s="926"/>
      <c r="B34" s="853"/>
      <c r="C34" s="927"/>
      <c r="D34" s="928"/>
      <c r="E34" s="903"/>
      <c r="F34" s="903"/>
      <c r="G34" s="903"/>
      <c r="H34" s="903"/>
      <c r="I34" s="903"/>
      <c r="J34" s="908"/>
      <c r="K34" s="891"/>
      <c r="L34" s="889"/>
      <c r="M34" s="889"/>
      <c r="N34" s="889"/>
      <c r="O34" s="889"/>
      <c r="P34" s="889"/>
      <c r="Q34" s="926"/>
    </row>
    <row r="35" spans="1:17" ht="13.5" customHeight="1">
      <c r="A35" s="926"/>
      <c r="B35" s="853"/>
      <c r="C35" s="927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891"/>
      <c r="L35" s="889"/>
      <c r="M35" s="889"/>
      <c r="N35" s="889"/>
      <c r="O35" s="889"/>
      <c r="P35" s="889"/>
      <c r="Q35" s="926"/>
    </row>
    <row r="36" spans="1:17" ht="13.5" customHeight="1" thickBot="1">
      <c r="A36" s="926"/>
      <c r="B36" s="853"/>
      <c r="C36" s="927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891"/>
      <c r="L36" s="889"/>
      <c r="M36" s="889"/>
      <c r="N36" s="889"/>
      <c r="O36" s="889"/>
      <c r="P36" s="889"/>
      <c r="Q36" s="926"/>
    </row>
    <row r="37" spans="1:17" ht="15.75" customHeight="1" thickBot="1">
      <c r="A37" s="8" t="s">
        <v>34</v>
      </c>
      <c r="B37" s="938" t="s">
        <v>147</v>
      </c>
      <c r="C37" s="939"/>
      <c r="D37" s="905"/>
      <c r="E37" s="905"/>
      <c r="F37" s="905"/>
      <c r="G37" s="905"/>
      <c r="H37" s="905"/>
      <c r="I37" s="905"/>
      <c r="J37" s="905"/>
      <c r="K37" s="939"/>
      <c r="L37" s="939"/>
      <c r="M37" s="939"/>
      <c r="N37" s="939"/>
      <c r="O37" s="939"/>
      <c r="P37" s="939"/>
      <c r="Q37" s="940"/>
    </row>
    <row r="38" spans="1:17" ht="23.25" customHeight="1">
      <c r="A38" s="837" t="s">
        <v>36</v>
      </c>
      <c r="B38" s="929" t="s">
        <v>83</v>
      </c>
      <c r="C38" s="926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885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909"/>
      <c r="B39" s="930"/>
      <c r="C39" s="931"/>
      <c r="D39" s="943" t="s">
        <v>212</v>
      </c>
      <c r="E39" s="917">
        <f>SUM(F39:J40)</f>
        <v>546.5</v>
      </c>
      <c r="F39" s="917">
        <f>SUM(F47,F44,F50)</f>
        <v>356.5</v>
      </c>
      <c r="G39" s="917">
        <f>SUM(G47,G44,G50)</f>
        <v>100</v>
      </c>
      <c r="H39" s="917">
        <f>SUM(H47,H44,H50)</f>
        <v>30</v>
      </c>
      <c r="I39" s="917">
        <f>SUM(I47,I44,I50)</f>
        <v>30</v>
      </c>
      <c r="J39" s="917">
        <f>SUM(J47,J44,J50)</f>
        <v>30</v>
      </c>
      <c r="K39" s="941"/>
      <c r="L39" s="945">
        <v>100</v>
      </c>
      <c r="M39" s="945">
        <v>100</v>
      </c>
      <c r="N39" s="945">
        <v>100</v>
      </c>
      <c r="O39" s="945">
        <v>100</v>
      </c>
      <c r="P39" s="945">
        <v>100</v>
      </c>
      <c r="Q39" s="947" t="s">
        <v>132</v>
      </c>
    </row>
    <row r="40" spans="1:17" ht="6" customHeight="1">
      <c r="A40" s="909"/>
      <c r="B40" s="930"/>
      <c r="C40" s="931"/>
      <c r="D40" s="944"/>
      <c r="E40" s="918"/>
      <c r="F40" s="918"/>
      <c r="G40" s="918"/>
      <c r="H40" s="918"/>
      <c r="I40" s="918"/>
      <c r="J40" s="918"/>
      <c r="K40" s="941"/>
      <c r="L40" s="946"/>
      <c r="M40" s="946"/>
      <c r="N40" s="946"/>
      <c r="O40" s="946"/>
      <c r="P40" s="946"/>
      <c r="Q40" s="948"/>
    </row>
    <row r="41" spans="1:17" ht="11.25" customHeight="1">
      <c r="A41" s="909"/>
      <c r="B41" s="930"/>
      <c r="C41" s="931"/>
      <c r="D41" s="944"/>
      <c r="E41" s="917">
        <f>SUM(F41:J42)</f>
        <v>755.4</v>
      </c>
      <c r="F41" s="921">
        <f>SUM(F48,F45,F51)</f>
        <v>465.4</v>
      </c>
      <c r="G41" s="922">
        <f>SUM(G48,G45,G51)</f>
        <v>200</v>
      </c>
      <c r="H41" s="922">
        <f>SUM(H48,H45,H51)</f>
        <v>30</v>
      </c>
      <c r="I41" s="922">
        <f>SUM(I48,I45,I51)</f>
        <v>30</v>
      </c>
      <c r="J41" s="922">
        <f>SUM(J48,J45,J51)</f>
        <v>30</v>
      </c>
      <c r="K41" s="941"/>
      <c r="L41" s="945">
        <v>100</v>
      </c>
      <c r="M41" s="945">
        <v>100</v>
      </c>
      <c r="N41" s="945">
        <v>100</v>
      </c>
      <c r="O41" s="945">
        <v>100</v>
      </c>
      <c r="P41" s="945">
        <v>100</v>
      </c>
      <c r="Q41" s="950" t="s">
        <v>131</v>
      </c>
    </row>
    <row r="42" spans="1:17" ht="6" customHeight="1">
      <c r="A42" s="910"/>
      <c r="B42" s="930"/>
      <c r="C42" s="931"/>
      <c r="D42" s="944"/>
      <c r="E42" s="920"/>
      <c r="F42" s="922"/>
      <c r="G42" s="949"/>
      <c r="H42" s="949"/>
      <c r="I42" s="949"/>
      <c r="J42" s="949"/>
      <c r="K42" s="942"/>
      <c r="L42" s="946"/>
      <c r="M42" s="946"/>
      <c r="N42" s="946"/>
      <c r="O42" s="946"/>
      <c r="P42" s="946"/>
      <c r="Q42" s="950"/>
    </row>
    <row r="43" spans="1:17" ht="20.25" customHeight="1">
      <c r="A43" s="837" t="s">
        <v>82</v>
      </c>
      <c r="B43" s="883" t="s">
        <v>84</v>
      </c>
      <c r="C43" s="951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953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909"/>
      <c r="B44" s="911"/>
      <c r="C44" s="886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954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910"/>
      <c r="B45" s="912"/>
      <c r="C45" s="952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955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837" t="s">
        <v>85</v>
      </c>
      <c r="B46" s="883" t="s">
        <v>86</v>
      </c>
      <c r="C46" s="951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953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909"/>
      <c r="B47" s="911"/>
      <c r="C47" s="886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954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910"/>
      <c r="B48" s="912"/>
      <c r="C48" s="952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955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837" t="s">
        <v>138</v>
      </c>
      <c r="B49" s="883" t="s">
        <v>139</v>
      </c>
      <c r="C49" s="951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953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909"/>
      <c r="B50" s="911"/>
      <c r="C50" s="886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954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910"/>
      <c r="B51" s="912"/>
      <c r="C51" s="952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955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837" t="s">
        <v>64</v>
      </c>
      <c r="B52" s="883" t="s">
        <v>89</v>
      </c>
      <c r="C52" s="951" t="s">
        <v>161</v>
      </c>
      <c r="D52" s="957" t="s">
        <v>259</v>
      </c>
      <c r="E52" s="959">
        <v>920.1</v>
      </c>
      <c r="F52" s="959">
        <f>SUM(F58,F60,F63)</f>
        <v>260.8</v>
      </c>
      <c r="G52" s="959">
        <f>SUM(G55:G56)</f>
        <v>419.3</v>
      </c>
      <c r="H52" s="959">
        <f>SUM(H55:H56)</f>
        <v>80</v>
      </c>
      <c r="I52" s="959">
        <f>SUM(I55:I56)</f>
        <v>80</v>
      </c>
      <c r="J52" s="959">
        <f>SUM(J55:J56)</f>
        <v>80</v>
      </c>
      <c r="K52" s="885"/>
      <c r="L52" s="935"/>
      <c r="M52" s="935"/>
      <c r="N52" s="935"/>
      <c r="O52" s="935"/>
      <c r="P52" s="935"/>
      <c r="Q52" s="950"/>
    </row>
    <row r="53" spans="1:17" ht="6.75" customHeight="1">
      <c r="A53" s="838"/>
      <c r="B53" s="956"/>
      <c r="C53" s="765"/>
      <c r="D53" s="958"/>
      <c r="E53" s="960"/>
      <c r="F53" s="960"/>
      <c r="G53" s="960"/>
      <c r="H53" s="960"/>
      <c r="I53" s="960"/>
      <c r="J53" s="960"/>
      <c r="K53" s="941"/>
      <c r="L53" s="936"/>
      <c r="M53" s="936"/>
      <c r="N53" s="936"/>
      <c r="O53" s="936"/>
      <c r="P53" s="936"/>
      <c r="Q53" s="962"/>
    </row>
    <row r="54" spans="1:17" ht="6.75" customHeight="1">
      <c r="A54" s="838"/>
      <c r="B54" s="956"/>
      <c r="C54" s="765"/>
      <c r="D54" s="958"/>
      <c r="E54" s="961"/>
      <c r="F54" s="961"/>
      <c r="G54" s="961"/>
      <c r="H54" s="961"/>
      <c r="I54" s="961"/>
      <c r="J54" s="961"/>
      <c r="K54" s="941"/>
      <c r="L54" s="936"/>
      <c r="M54" s="936"/>
      <c r="N54" s="936"/>
      <c r="O54" s="936"/>
      <c r="P54" s="936"/>
      <c r="Q54" s="962"/>
    </row>
    <row r="55" spans="1:17" ht="17.25" customHeight="1">
      <c r="A55" s="838"/>
      <c r="B55" s="956"/>
      <c r="C55" s="765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941"/>
      <c r="L55" s="936"/>
      <c r="M55" s="936"/>
      <c r="N55" s="936"/>
      <c r="O55" s="936"/>
      <c r="P55" s="936"/>
      <c r="Q55" s="962"/>
    </row>
    <row r="56" spans="1:17" ht="17.25" customHeight="1">
      <c r="A56" s="777"/>
      <c r="B56" s="774"/>
      <c r="C56" s="766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942"/>
      <c r="L56" s="936"/>
      <c r="M56" s="936"/>
      <c r="N56" s="936"/>
      <c r="O56" s="936"/>
      <c r="P56" s="936"/>
      <c r="Q56" s="962"/>
    </row>
    <row r="57" spans="1:17" ht="24.75" customHeight="1">
      <c r="A57" s="837" t="s">
        <v>87</v>
      </c>
      <c r="B57" s="883" t="s">
        <v>84</v>
      </c>
      <c r="C57" s="951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893" t="s">
        <v>261</v>
      </c>
      <c r="L57" s="935" t="s">
        <v>236</v>
      </c>
      <c r="M57" s="935" t="s">
        <v>213</v>
      </c>
      <c r="N57" s="935" t="s">
        <v>213</v>
      </c>
      <c r="O57" s="935" t="s">
        <v>213</v>
      </c>
      <c r="P57" s="935" t="s">
        <v>213</v>
      </c>
      <c r="Q57" s="963" t="s">
        <v>51</v>
      </c>
    </row>
    <row r="58" spans="1:17" ht="11.25" customHeight="1">
      <c r="A58" s="776"/>
      <c r="B58" s="773"/>
      <c r="C58" s="765"/>
      <c r="D58" s="919" t="s">
        <v>5</v>
      </c>
      <c r="E58" s="920">
        <f>SUM(F58:J59)</f>
        <v>104.4</v>
      </c>
      <c r="F58" s="964">
        <v>104.4</v>
      </c>
      <c r="G58" s="966">
        <v>0</v>
      </c>
      <c r="H58" s="966">
        <v>0</v>
      </c>
      <c r="I58" s="966">
        <v>0</v>
      </c>
      <c r="J58" s="966">
        <v>0</v>
      </c>
      <c r="K58" s="893"/>
      <c r="L58" s="936"/>
      <c r="M58" s="936"/>
      <c r="N58" s="936"/>
      <c r="O58" s="936"/>
      <c r="P58" s="936"/>
      <c r="Q58" s="763"/>
    </row>
    <row r="59" spans="1:17" ht="12.75" customHeight="1">
      <c r="A59" s="777"/>
      <c r="B59" s="774"/>
      <c r="C59" s="766"/>
      <c r="D59" s="937"/>
      <c r="E59" s="918"/>
      <c r="F59" s="965"/>
      <c r="G59" s="949"/>
      <c r="H59" s="949"/>
      <c r="I59" s="949"/>
      <c r="J59" s="949"/>
      <c r="K59" s="893"/>
      <c r="L59" s="936"/>
      <c r="M59" s="936"/>
      <c r="N59" s="936"/>
      <c r="O59" s="936"/>
      <c r="P59" s="936"/>
      <c r="Q59" s="763"/>
    </row>
    <row r="60" spans="1:17" ht="22.5" customHeight="1">
      <c r="A60" s="837" t="s">
        <v>88</v>
      </c>
      <c r="B60" s="883" t="s">
        <v>86</v>
      </c>
      <c r="C60" s="951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893" t="s">
        <v>261</v>
      </c>
      <c r="L60" s="935" t="s">
        <v>236</v>
      </c>
      <c r="M60" s="935" t="s">
        <v>213</v>
      </c>
      <c r="N60" s="935" t="s">
        <v>236</v>
      </c>
      <c r="O60" s="935" t="s">
        <v>236</v>
      </c>
      <c r="P60" s="935" t="s">
        <v>236</v>
      </c>
      <c r="Q60" s="963" t="s">
        <v>51</v>
      </c>
    </row>
    <row r="61" spans="1:17" ht="12" customHeight="1">
      <c r="A61" s="776"/>
      <c r="B61" s="773"/>
      <c r="C61" s="765"/>
      <c r="D61" s="889" t="s">
        <v>5</v>
      </c>
      <c r="E61" s="917">
        <f>SUM(F61:J62)</f>
        <v>332.8</v>
      </c>
      <c r="F61" s="967">
        <v>92.8</v>
      </c>
      <c r="G61" s="922">
        <f>80-80</f>
        <v>0</v>
      </c>
      <c r="H61" s="922">
        <v>80</v>
      </c>
      <c r="I61" s="922">
        <v>80</v>
      </c>
      <c r="J61" s="922">
        <v>80</v>
      </c>
      <c r="K61" s="893"/>
      <c r="L61" s="936"/>
      <c r="M61" s="936"/>
      <c r="N61" s="936"/>
      <c r="O61" s="936"/>
      <c r="P61" s="936"/>
      <c r="Q61" s="763"/>
    </row>
    <row r="62" spans="1:17" ht="12.75" customHeight="1">
      <c r="A62" s="777"/>
      <c r="B62" s="774"/>
      <c r="C62" s="766"/>
      <c r="D62" s="889"/>
      <c r="E62" s="918"/>
      <c r="F62" s="965"/>
      <c r="G62" s="949"/>
      <c r="H62" s="949"/>
      <c r="I62" s="949"/>
      <c r="J62" s="949"/>
      <c r="K62" s="893"/>
      <c r="L62" s="936"/>
      <c r="M62" s="936"/>
      <c r="N62" s="936"/>
      <c r="O62" s="936"/>
      <c r="P62" s="936"/>
      <c r="Q62" s="763"/>
    </row>
    <row r="63" spans="1:17" ht="21" customHeight="1">
      <c r="A63" s="837" t="s">
        <v>140</v>
      </c>
      <c r="B63" s="883" t="s">
        <v>139</v>
      </c>
      <c r="C63" s="951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885" t="s">
        <v>261</v>
      </c>
      <c r="L63" s="887" t="s">
        <v>236</v>
      </c>
      <c r="M63" s="887" t="s">
        <v>236</v>
      </c>
      <c r="N63" s="887" t="s">
        <v>213</v>
      </c>
      <c r="O63" s="887" t="s">
        <v>213</v>
      </c>
      <c r="P63" s="887" t="s">
        <v>213</v>
      </c>
      <c r="Q63" s="837" t="s">
        <v>51</v>
      </c>
    </row>
    <row r="64" spans="1:17" ht="13.5" customHeight="1">
      <c r="A64" s="968"/>
      <c r="B64" s="968"/>
      <c r="C64" s="968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968"/>
      <c r="L64" s="968"/>
      <c r="M64" s="969"/>
      <c r="N64" s="968"/>
      <c r="O64" s="969"/>
      <c r="P64" s="969"/>
      <c r="Q64" s="968"/>
    </row>
    <row r="65" spans="1:17" ht="67.5" customHeight="1">
      <c r="A65" s="205" t="s">
        <v>292</v>
      </c>
      <c r="B65" s="140" t="s">
        <v>289</v>
      </c>
      <c r="C65" s="970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72" t="s">
        <v>291</v>
      </c>
      <c r="L65" s="919">
        <v>0</v>
      </c>
      <c r="M65" s="919">
        <v>100</v>
      </c>
      <c r="N65" s="919">
        <v>0</v>
      </c>
      <c r="O65" s="919">
        <v>0</v>
      </c>
      <c r="P65" s="919">
        <v>0</v>
      </c>
      <c r="Q65" s="919" t="s">
        <v>51</v>
      </c>
    </row>
    <row r="66" spans="1:17" ht="103.5" customHeight="1">
      <c r="A66" s="205" t="s">
        <v>293</v>
      </c>
      <c r="B66" s="200" t="s">
        <v>290</v>
      </c>
      <c r="C66" s="884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73"/>
      <c r="L66" s="888"/>
      <c r="M66" s="888"/>
      <c r="N66" s="888"/>
      <c r="O66" s="888"/>
      <c r="P66" s="888"/>
      <c r="Q66" s="888"/>
    </row>
    <row r="67" spans="1:18" ht="24" customHeight="1">
      <c r="A67" s="185" t="s">
        <v>294</v>
      </c>
      <c r="B67" s="200" t="s">
        <v>204</v>
      </c>
      <c r="C67" s="971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74"/>
      <c r="L67" s="975"/>
      <c r="M67" s="975"/>
      <c r="N67" s="975"/>
      <c r="O67" s="975"/>
      <c r="P67" s="975"/>
      <c r="Q67" s="975"/>
      <c r="R67" s="1">
        <v>150</v>
      </c>
    </row>
    <row r="68" spans="1:17" ht="6.75" customHeight="1">
      <c r="A68" s="837" t="s">
        <v>90</v>
      </c>
      <c r="B68" s="883" t="s">
        <v>92</v>
      </c>
      <c r="C68" s="951" t="s">
        <v>161</v>
      </c>
      <c r="D68" s="976" t="s">
        <v>224</v>
      </c>
      <c r="E68" s="979">
        <f>SUM(F68:J71)</f>
        <v>880.8</v>
      </c>
      <c r="F68" s="979">
        <f>SUM(F75,F78,F79)</f>
        <v>800.8</v>
      </c>
      <c r="G68" s="979">
        <f>SUM(G75,G78)</f>
        <v>20</v>
      </c>
      <c r="H68" s="979">
        <f>SUM(H75,H78)</f>
        <v>20</v>
      </c>
      <c r="I68" s="979">
        <f>SUM(I75,I78)</f>
        <v>20</v>
      </c>
      <c r="J68" s="979">
        <f>SUM(J75,J78)</f>
        <v>20</v>
      </c>
      <c r="K68" s="934"/>
      <c r="L68" s="935"/>
      <c r="M68" s="935"/>
      <c r="N68" s="935"/>
      <c r="O68" s="935"/>
      <c r="P68" s="935"/>
      <c r="Q68" s="950"/>
    </row>
    <row r="69" spans="1:17" ht="6.75" customHeight="1">
      <c r="A69" s="838"/>
      <c r="B69" s="956"/>
      <c r="C69" s="765"/>
      <c r="D69" s="977"/>
      <c r="E69" s="980"/>
      <c r="F69" s="980"/>
      <c r="G69" s="980"/>
      <c r="H69" s="980"/>
      <c r="I69" s="980"/>
      <c r="J69" s="980"/>
      <c r="K69" s="893"/>
      <c r="L69" s="936"/>
      <c r="M69" s="936"/>
      <c r="N69" s="936"/>
      <c r="O69" s="936"/>
      <c r="P69" s="936"/>
      <c r="Q69" s="962"/>
    </row>
    <row r="70" spans="1:17" ht="10.5" customHeight="1">
      <c r="A70" s="838"/>
      <c r="B70" s="956"/>
      <c r="C70" s="765"/>
      <c r="D70" s="977"/>
      <c r="E70" s="980"/>
      <c r="F70" s="980"/>
      <c r="G70" s="980"/>
      <c r="H70" s="980"/>
      <c r="I70" s="980"/>
      <c r="J70" s="980"/>
      <c r="K70" s="893"/>
      <c r="L70" s="936"/>
      <c r="M70" s="936"/>
      <c r="N70" s="936"/>
      <c r="O70" s="936"/>
      <c r="P70" s="936"/>
      <c r="Q70" s="962"/>
    </row>
    <row r="71" spans="1:17" ht="10.5" customHeight="1">
      <c r="A71" s="838"/>
      <c r="B71" s="956"/>
      <c r="C71" s="765"/>
      <c r="D71" s="978"/>
      <c r="E71" s="981"/>
      <c r="F71" s="981"/>
      <c r="G71" s="981"/>
      <c r="H71" s="981"/>
      <c r="I71" s="981"/>
      <c r="J71" s="981"/>
      <c r="K71" s="893"/>
      <c r="L71" s="936"/>
      <c r="M71" s="936"/>
      <c r="N71" s="936"/>
      <c r="O71" s="936"/>
      <c r="P71" s="936"/>
      <c r="Q71" s="962"/>
    </row>
    <row r="72" spans="1:17" ht="14.25" customHeight="1">
      <c r="A72" s="776"/>
      <c r="B72" s="773"/>
      <c r="C72" s="765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893"/>
      <c r="L72" s="936"/>
      <c r="M72" s="936"/>
      <c r="N72" s="936"/>
      <c r="O72" s="936"/>
      <c r="P72" s="936"/>
      <c r="Q72" s="962"/>
    </row>
    <row r="73" spans="1:17" ht="12" customHeight="1">
      <c r="A73" s="777"/>
      <c r="B73" s="774"/>
      <c r="C73" s="766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893"/>
      <c r="L73" s="936"/>
      <c r="M73" s="936"/>
      <c r="N73" s="936"/>
      <c r="O73" s="936"/>
      <c r="P73" s="936"/>
      <c r="Q73" s="962"/>
    </row>
    <row r="74" spans="1:17" ht="24" customHeight="1">
      <c r="A74" s="837" t="s">
        <v>91</v>
      </c>
      <c r="B74" s="883" t="s">
        <v>86</v>
      </c>
      <c r="C74" s="951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934" t="s">
        <v>261</v>
      </c>
      <c r="L74" s="935" t="s">
        <v>236</v>
      </c>
      <c r="M74" s="935" t="s">
        <v>236</v>
      </c>
      <c r="N74" s="935" t="s">
        <v>236</v>
      </c>
      <c r="O74" s="935" t="s">
        <v>236</v>
      </c>
      <c r="P74" s="935" t="s">
        <v>236</v>
      </c>
      <c r="Q74" s="837" t="s">
        <v>142</v>
      </c>
    </row>
    <row r="75" spans="1:17" ht="13.5" customHeight="1">
      <c r="A75" s="776"/>
      <c r="B75" s="773"/>
      <c r="C75" s="982"/>
      <c r="D75" s="889" t="s">
        <v>5</v>
      </c>
      <c r="E75" s="984">
        <f>SUM(F75:J76)</f>
        <v>158.8</v>
      </c>
      <c r="F75" s="967">
        <f>118.8-40</f>
        <v>78.8</v>
      </c>
      <c r="G75" s="967">
        <v>20</v>
      </c>
      <c r="H75" s="967">
        <v>20</v>
      </c>
      <c r="I75" s="967">
        <v>20</v>
      </c>
      <c r="J75" s="967">
        <v>20</v>
      </c>
      <c r="K75" s="893"/>
      <c r="L75" s="936"/>
      <c r="M75" s="936"/>
      <c r="N75" s="936"/>
      <c r="O75" s="936"/>
      <c r="P75" s="936"/>
      <c r="Q75" s="838"/>
    </row>
    <row r="76" spans="1:17" ht="11.25" customHeight="1">
      <c r="A76" s="777"/>
      <c r="B76" s="774"/>
      <c r="C76" s="982"/>
      <c r="D76" s="889"/>
      <c r="E76" s="985"/>
      <c r="F76" s="965"/>
      <c r="G76" s="965"/>
      <c r="H76" s="965"/>
      <c r="I76" s="965"/>
      <c r="J76" s="965"/>
      <c r="K76" s="893"/>
      <c r="L76" s="936"/>
      <c r="M76" s="936"/>
      <c r="N76" s="936"/>
      <c r="O76" s="936"/>
      <c r="P76" s="936"/>
      <c r="Q76" s="983"/>
    </row>
    <row r="77" spans="1:17" ht="22.5" customHeight="1">
      <c r="A77" s="837" t="s">
        <v>141</v>
      </c>
      <c r="B77" s="883" t="s">
        <v>139</v>
      </c>
      <c r="C77" s="926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934" t="s">
        <v>261</v>
      </c>
      <c r="L77" s="935" t="s">
        <v>236</v>
      </c>
      <c r="M77" s="935" t="s">
        <v>213</v>
      </c>
      <c r="N77" s="935" t="s">
        <v>213</v>
      </c>
      <c r="O77" s="935" t="s">
        <v>213</v>
      </c>
      <c r="P77" s="935" t="s">
        <v>213</v>
      </c>
      <c r="Q77" s="837" t="s">
        <v>142</v>
      </c>
    </row>
    <row r="78" spans="1:17" ht="13.5" customHeight="1">
      <c r="A78" s="776"/>
      <c r="B78" s="773"/>
      <c r="C78" s="896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893"/>
      <c r="L78" s="936"/>
      <c r="M78" s="936"/>
      <c r="N78" s="936"/>
      <c r="O78" s="936"/>
      <c r="P78" s="936"/>
      <c r="Q78" s="838"/>
    </row>
    <row r="79" spans="1:17" ht="12" customHeight="1" thickBot="1">
      <c r="A79" s="777"/>
      <c r="B79" s="774"/>
      <c r="C79" s="896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893"/>
      <c r="L79" s="936"/>
      <c r="M79" s="936"/>
      <c r="N79" s="936"/>
      <c r="O79" s="936"/>
      <c r="P79" s="936"/>
      <c r="Q79" s="983"/>
    </row>
    <row r="80" spans="1:17" ht="18" customHeight="1">
      <c r="A80" s="926"/>
      <c r="B80" s="853" t="s">
        <v>48</v>
      </c>
      <c r="C80" s="927"/>
      <c r="D80" s="900" t="s">
        <v>207</v>
      </c>
      <c r="E80" s="902">
        <f aca="true" t="shared" si="16" ref="E80:J80">SUM(E82:E83)</f>
        <v>3252.8</v>
      </c>
      <c r="F80" s="902">
        <f t="shared" si="16"/>
        <v>1883.5</v>
      </c>
      <c r="G80" s="902">
        <f t="shared" si="16"/>
        <v>889.3</v>
      </c>
      <c r="H80" s="902">
        <f t="shared" si="16"/>
        <v>160</v>
      </c>
      <c r="I80" s="902">
        <f t="shared" si="16"/>
        <v>160</v>
      </c>
      <c r="J80" s="907">
        <f t="shared" si="16"/>
        <v>160</v>
      </c>
      <c r="K80" s="986"/>
      <c r="L80" s="893"/>
      <c r="M80" s="893"/>
      <c r="N80" s="893"/>
      <c r="O80" s="893"/>
      <c r="P80" s="893"/>
      <c r="Q80" s="893"/>
    </row>
    <row r="81" spans="1:17" ht="12.75" customHeight="1">
      <c r="A81" s="926"/>
      <c r="B81" s="853"/>
      <c r="C81" s="927"/>
      <c r="D81" s="928"/>
      <c r="E81" s="903"/>
      <c r="F81" s="903"/>
      <c r="G81" s="903"/>
      <c r="H81" s="903"/>
      <c r="I81" s="903"/>
      <c r="J81" s="908"/>
      <c r="K81" s="987"/>
      <c r="L81" s="893"/>
      <c r="M81" s="893"/>
      <c r="N81" s="893"/>
      <c r="O81" s="893"/>
      <c r="P81" s="893"/>
      <c r="Q81" s="893"/>
    </row>
    <row r="82" spans="1:17" ht="14.25" customHeight="1">
      <c r="A82" s="926"/>
      <c r="B82" s="853"/>
      <c r="C82" s="927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987"/>
      <c r="L82" s="893"/>
      <c r="M82" s="893"/>
      <c r="N82" s="893"/>
      <c r="O82" s="893"/>
      <c r="P82" s="893"/>
      <c r="Q82" s="893"/>
    </row>
    <row r="83" spans="1:17" ht="14.25" customHeight="1" thickBot="1">
      <c r="A83" s="896"/>
      <c r="B83" s="897"/>
      <c r="C83" s="989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988"/>
      <c r="L83" s="894"/>
      <c r="M83" s="894"/>
      <c r="N83" s="894"/>
      <c r="O83" s="894"/>
      <c r="P83" s="894"/>
      <c r="Q83" s="894"/>
    </row>
    <row r="84" spans="1:17" ht="13.5" customHeight="1">
      <c r="A84" s="8" t="s">
        <v>38</v>
      </c>
      <c r="B84" s="938" t="s">
        <v>93</v>
      </c>
      <c r="C84" s="939"/>
      <c r="D84" s="905"/>
      <c r="E84" s="905"/>
      <c r="F84" s="905"/>
      <c r="G84" s="905"/>
      <c r="H84" s="905"/>
      <c r="I84" s="905"/>
      <c r="J84" s="905"/>
      <c r="K84" s="939"/>
      <c r="L84" s="939"/>
      <c r="M84" s="939"/>
      <c r="N84" s="939"/>
      <c r="O84" s="939"/>
      <c r="P84" s="939"/>
      <c r="Q84" s="940"/>
    </row>
    <row r="85" spans="1:17" ht="16.5" customHeight="1">
      <c r="A85" s="837" t="s">
        <v>39</v>
      </c>
      <c r="B85" s="883" t="s">
        <v>58</v>
      </c>
      <c r="C85" s="951" t="s">
        <v>161</v>
      </c>
      <c r="D85" s="976" t="s">
        <v>223</v>
      </c>
      <c r="E85" s="959">
        <f aca="true" t="shared" si="17" ref="E85:J85">SUM(E92:E94)</f>
        <v>363716.4000000001</v>
      </c>
      <c r="F85" s="959">
        <f t="shared" si="17"/>
        <v>75088</v>
      </c>
      <c r="G85" s="959">
        <f t="shared" si="17"/>
        <v>75143.5</v>
      </c>
      <c r="H85" s="959">
        <f t="shared" si="17"/>
        <v>67266.90000000001</v>
      </c>
      <c r="I85" s="959">
        <f t="shared" si="17"/>
        <v>73109</v>
      </c>
      <c r="J85" s="959">
        <f t="shared" si="17"/>
        <v>73109</v>
      </c>
      <c r="K85" s="934" t="s">
        <v>262</v>
      </c>
      <c r="L85" s="935" t="s">
        <v>236</v>
      </c>
      <c r="M85" s="935" t="s">
        <v>236</v>
      </c>
      <c r="N85" s="935" t="s">
        <v>236</v>
      </c>
      <c r="O85" s="935" t="s">
        <v>236</v>
      </c>
      <c r="P85" s="935" t="s">
        <v>236</v>
      </c>
      <c r="Q85" s="935" t="s">
        <v>99</v>
      </c>
    </row>
    <row r="86" spans="1:17" ht="13.5" customHeight="1">
      <c r="A86" s="838"/>
      <c r="B86" s="956"/>
      <c r="C86" s="982"/>
      <c r="D86" s="977"/>
      <c r="E86" s="960"/>
      <c r="F86" s="960"/>
      <c r="G86" s="960"/>
      <c r="H86" s="960"/>
      <c r="I86" s="960"/>
      <c r="J86" s="960"/>
      <c r="K86" s="934"/>
      <c r="L86" s="935"/>
      <c r="M86" s="935"/>
      <c r="N86" s="935"/>
      <c r="O86" s="935"/>
      <c r="P86" s="935"/>
      <c r="Q86" s="935"/>
    </row>
    <row r="87" spans="1:17" ht="9" customHeight="1" hidden="1">
      <c r="A87" s="838"/>
      <c r="B87" s="956"/>
      <c r="C87" s="982"/>
      <c r="D87" s="977"/>
      <c r="E87" s="960"/>
      <c r="F87" s="960"/>
      <c r="G87" s="960"/>
      <c r="H87" s="960"/>
      <c r="I87" s="960"/>
      <c r="J87" s="960"/>
      <c r="K87" s="934"/>
      <c r="L87" s="935"/>
      <c r="M87" s="935"/>
      <c r="N87" s="935"/>
      <c r="O87" s="935"/>
      <c r="P87" s="935"/>
      <c r="Q87" s="935"/>
    </row>
    <row r="88" spans="1:17" ht="16.5" customHeight="1">
      <c r="A88" s="838"/>
      <c r="B88" s="956"/>
      <c r="C88" s="982"/>
      <c r="D88" s="978"/>
      <c r="E88" s="961"/>
      <c r="F88" s="961"/>
      <c r="G88" s="961"/>
      <c r="H88" s="961"/>
      <c r="I88" s="961"/>
      <c r="J88" s="961"/>
      <c r="K88" s="934"/>
      <c r="L88" s="935"/>
      <c r="M88" s="935"/>
      <c r="N88" s="935"/>
      <c r="O88" s="935"/>
      <c r="P88" s="935"/>
      <c r="Q88" s="935"/>
    </row>
    <row r="89" spans="1:17" ht="13.5" customHeight="1">
      <c r="A89" s="776"/>
      <c r="B89" s="773"/>
      <c r="C89" s="765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894"/>
      <c r="L89" s="763"/>
      <c r="M89" s="763"/>
      <c r="N89" s="763"/>
      <c r="O89" s="763"/>
      <c r="P89" s="763"/>
      <c r="Q89" s="763"/>
    </row>
    <row r="90" spans="1:17" ht="13.5" customHeight="1">
      <c r="A90" s="777"/>
      <c r="B90" s="774"/>
      <c r="C90" s="766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894"/>
      <c r="L90" s="763"/>
      <c r="M90" s="763"/>
      <c r="N90" s="763"/>
      <c r="O90" s="763"/>
      <c r="P90" s="763"/>
      <c r="Q90" s="763"/>
    </row>
    <row r="91" spans="1:17" ht="26.25" customHeight="1">
      <c r="A91" s="837" t="s">
        <v>94</v>
      </c>
      <c r="B91" s="789" t="s">
        <v>109</v>
      </c>
      <c r="C91" s="991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805" t="s">
        <v>263</v>
      </c>
      <c r="L91" s="800" t="s">
        <v>236</v>
      </c>
      <c r="M91" s="800" t="s">
        <v>236</v>
      </c>
      <c r="N91" s="800" t="s">
        <v>236</v>
      </c>
      <c r="O91" s="800" t="s">
        <v>236</v>
      </c>
      <c r="P91" s="800" t="s">
        <v>236</v>
      </c>
      <c r="Q91" s="792" t="s">
        <v>99</v>
      </c>
    </row>
    <row r="92" spans="1:17" ht="20.25" customHeight="1">
      <c r="A92" s="777"/>
      <c r="B92" s="990"/>
      <c r="C92" s="992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993"/>
      <c r="L92" s="994"/>
      <c r="M92" s="994"/>
      <c r="N92" s="994"/>
      <c r="O92" s="994"/>
      <c r="P92" s="994"/>
      <c r="Q92" s="995"/>
    </row>
    <row r="93" spans="1:17" ht="25.5" customHeight="1">
      <c r="A93" s="837" t="s">
        <v>95</v>
      </c>
      <c r="B93" s="775" t="s">
        <v>100</v>
      </c>
      <c r="C93" s="991" t="s">
        <v>161</v>
      </c>
      <c r="D93" s="997" t="s">
        <v>220</v>
      </c>
      <c r="E93" s="999">
        <f>F93+G93+H93+I93+J93</f>
        <v>240164.70000000007</v>
      </c>
      <c r="F93" s="999">
        <f>F97+F102+F105+F108+F110</f>
        <v>46596.6</v>
      </c>
      <c r="G93" s="999">
        <f>G97+G102+G105+G108+G110</f>
        <v>48759.5</v>
      </c>
      <c r="H93" s="999">
        <f>H97+H102+H105+H108+H110</f>
        <v>46374.80000000001</v>
      </c>
      <c r="I93" s="999">
        <f>I97+I102+I105+I108+I110</f>
        <v>49216.90000000001</v>
      </c>
      <c r="J93" s="999">
        <f>J97+J102+J105+J108+J110</f>
        <v>49216.90000000001</v>
      </c>
      <c r="K93" s="1000" t="s">
        <v>263</v>
      </c>
      <c r="L93" s="1003">
        <v>100</v>
      </c>
      <c r="M93" s="1003">
        <v>100</v>
      </c>
      <c r="N93" s="1003">
        <v>100</v>
      </c>
      <c r="O93" s="1003">
        <v>100</v>
      </c>
      <c r="P93" s="1003">
        <v>100</v>
      </c>
      <c r="Q93" s="792" t="s">
        <v>99</v>
      </c>
    </row>
    <row r="94" spans="1:17" ht="6" customHeight="1">
      <c r="A94" s="838"/>
      <c r="B94" s="851"/>
      <c r="C94" s="858"/>
      <c r="D94" s="998"/>
      <c r="E94" s="995"/>
      <c r="F94" s="995"/>
      <c r="G94" s="995"/>
      <c r="H94" s="995"/>
      <c r="I94" s="995"/>
      <c r="J94" s="995"/>
      <c r="K94" s="1001"/>
      <c r="L94" s="1004"/>
      <c r="M94" s="1004"/>
      <c r="N94" s="1004"/>
      <c r="O94" s="1004"/>
      <c r="P94" s="1004"/>
      <c r="Q94" s="1005"/>
    </row>
    <row r="95" spans="1:17" ht="15.75" customHeight="1">
      <c r="A95" s="777"/>
      <c r="B95" s="996"/>
      <c r="C95" s="992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1002"/>
      <c r="L95" s="995"/>
      <c r="M95" s="995"/>
      <c r="N95" s="995"/>
      <c r="O95" s="995"/>
      <c r="P95" s="995"/>
      <c r="Q95" s="995"/>
    </row>
    <row r="96" spans="1:17" ht="24.75" customHeight="1">
      <c r="A96" s="837" t="s">
        <v>101</v>
      </c>
      <c r="B96" s="789" t="s">
        <v>103</v>
      </c>
      <c r="C96" s="991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806" t="s">
        <v>264</v>
      </c>
      <c r="L96" s="792" t="s">
        <v>236</v>
      </c>
      <c r="M96" s="792" t="s">
        <v>236</v>
      </c>
      <c r="N96" s="792" t="s">
        <v>236</v>
      </c>
      <c r="O96" s="792" t="s">
        <v>236</v>
      </c>
      <c r="P96" s="792" t="s">
        <v>236</v>
      </c>
      <c r="Q96" s="792" t="s">
        <v>99</v>
      </c>
    </row>
    <row r="97" spans="1:17" ht="19.5" customHeight="1">
      <c r="A97" s="776"/>
      <c r="B97" s="1006"/>
      <c r="C97" s="1008"/>
      <c r="D97" s="727" t="s">
        <v>6</v>
      </c>
      <c r="E97" s="1010">
        <f>SUM(F97:J98)</f>
        <v>8650.4</v>
      </c>
      <c r="F97" s="1010">
        <v>1840</v>
      </c>
      <c r="G97" s="1010">
        <v>1934</v>
      </c>
      <c r="H97" s="1010">
        <f>2100-550</f>
        <v>1550</v>
      </c>
      <c r="I97" s="1010">
        <f>2200-536.8</f>
        <v>1663.2</v>
      </c>
      <c r="J97" s="1010">
        <f>2200-536.8</f>
        <v>1663.2</v>
      </c>
      <c r="K97" s="1001"/>
      <c r="L97" s="857"/>
      <c r="M97" s="857"/>
      <c r="N97" s="857"/>
      <c r="O97" s="857"/>
      <c r="P97" s="857"/>
      <c r="Q97" s="1005"/>
    </row>
    <row r="98" spans="1:17" ht="26.25" customHeight="1">
      <c r="A98" s="776"/>
      <c r="B98" s="1006"/>
      <c r="C98" s="1008"/>
      <c r="D98" s="1012"/>
      <c r="E98" s="1011"/>
      <c r="F98" s="1011"/>
      <c r="G98" s="1011"/>
      <c r="H98" s="1011"/>
      <c r="I98" s="1011"/>
      <c r="J98" s="1011"/>
      <c r="K98" s="1001"/>
      <c r="L98" s="857"/>
      <c r="M98" s="857"/>
      <c r="N98" s="857"/>
      <c r="O98" s="857"/>
      <c r="P98" s="857"/>
      <c r="Q98" s="1005"/>
    </row>
    <row r="99" spans="1:17" ht="6" customHeight="1">
      <c r="A99" s="776"/>
      <c r="B99" s="1006"/>
      <c r="C99" s="1008"/>
      <c r="D99" s="1013"/>
      <c r="E99" s="1005"/>
      <c r="F99" s="1013"/>
      <c r="G99" s="1013"/>
      <c r="H99" s="1013"/>
      <c r="I99" s="1005"/>
      <c r="J99" s="1005"/>
      <c r="K99" s="1001"/>
      <c r="L99" s="857"/>
      <c r="M99" s="857"/>
      <c r="N99" s="857"/>
      <c r="O99" s="857"/>
      <c r="P99" s="857"/>
      <c r="Q99" s="1005"/>
    </row>
    <row r="100" spans="1:17" ht="12.75" customHeight="1">
      <c r="A100" s="777"/>
      <c r="B100" s="1007"/>
      <c r="C100" s="1009"/>
      <c r="D100" s="1014"/>
      <c r="E100" s="995"/>
      <c r="F100" s="1014"/>
      <c r="G100" s="1014"/>
      <c r="H100" s="1014"/>
      <c r="I100" s="995"/>
      <c r="J100" s="995"/>
      <c r="K100" s="1002"/>
      <c r="L100" s="845"/>
      <c r="M100" s="845"/>
      <c r="N100" s="845"/>
      <c r="O100" s="845"/>
      <c r="P100" s="845"/>
      <c r="Q100" s="995"/>
    </row>
    <row r="101" spans="1:17" ht="26.25" customHeight="1">
      <c r="A101" s="837" t="s">
        <v>102</v>
      </c>
      <c r="B101" s="789" t="s">
        <v>61</v>
      </c>
      <c r="C101" s="991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806" t="s">
        <v>263</v>
      </c>
      <c r="L101" s="792" t="s">
        <v>236</v>
      </c>
      <c r="M101" s="792" t="s">
        <v>213</v>
      </c>
      <c r="N101" s="792" t="s">
        <v>213</v>
      </c>
      <c r="O101" s="792" t="s">
        <v>213</v>
      </c>
      <c r="P101" s="792" t="s">
        <v>213</v>
      </c>
      <c r="Q101" s="291"/>
    </row>
    <row r="102" spans="1:17" ht="62.25" customHeight="1">
      <c r="A102" s="776"/>
      <c r="B102" s="1006"/>
      <c r="C102" s="1015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1001"/>
      <c r="L102" s="857"/>
      <c r="M102" s="857"/>
      <c r="N102" s="857"/>
      <c r="O102" s="857"/>
      <c r="P102" s="857"/>
      <c r="Q102" s="245" t="s">
        <v>206</v>
      </c>
    </row>
    <row r="103" spans="1:17" ht="51" customHeight="1" hidden="1">
      <c r="A103" s="777"/>
      <c r="B103" s="1007"/>
      <c r="C103" s="992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1002"/>
      <c r="L103" s="845"/>
      <c r="M103" s="845"/>
      <c r="N103" s="845"/>
      <c r="O103" s="845"/>
      <c r="P103" s="845"/>
      <c r="Q103" s="245"/>
    </row>
    <row r="104" spans="1:17" ht="28.5" customHeight="1">
      <c r="A104" s="1016" t="s">
        <v>104</v>
      </c>
      <c r="B104" s="1018" t="s">
        <v>66</v>
      </c>
      <c r="C104" s="991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806" t="s">
        <v>263</v>
      </c>
      <c r="L104" s="792" t="s">
        <v>236</v>
      </c>
      <c r="M104" s="792" t="s">
        <v>236</v>
      </c>
      <c r="N104" s="792" t="s">
        <v>236</v>
      </c>
      <c r="O104" s="792" t="s">
        <v>236</v>
      </c>
      <c r="P104" s="792" t="s">
        <v>236</v>
      </c>
      <c r="Q104" s="775" t="s">
        <v>205</v>
      </c>
    </row>
    <row r="105" spans="1:17" ht="48.75" customHeight="1">
      <c r="A105" s="1017"/>
      <c r="B105" s="1007"/>
      <c r="C105" s="1015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1002"/>
      <c r="L105" s="995"/>
      <c r="M105" s="995"/>
      <c r="N105" s="995"/>
      <c r="O105" s="995"/>
      <c r="P105" s="995"/>
      <c r="Q105" s="852"/>
    </row>
    <row r="106" spans="1:17" ht="36.75" customHeight="1" hidden="1">
      <c r="A106" s="81"/>
      <c r="B106" s="293"/>
      <c r="C106" s="992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837" t="s">
        <v>105</v>
      </c>
      <c r="B107" s="789" t="s">
        <v>62</v>
      </c>
      <c r="C107" s="991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806" t="s">
        <v>263</v>
      </c>
      <c r="L107" s="792" t="s">
        <v>236</v>
      </c>
      <c r="M107" s="792" t="s">
        <v>236</v>
      </c>
      <c r="N107" s="792" t="s">
        <v>236</v>
      </c>
      <c r="O107" s="792" t="s">
        <v>236</v>
      </c>
      <c r="P107" s="792" t="s">
        <v>236</v>
      </c>
      <c r="Q107" s="252"/>
    </row>
    <row r="108" spans="1:17" ht="39" customHeight="1">
      <c r="A108" s="1017"/>
      <c r="B108" s="1007"/>
      <c r="C108" s="992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1002"/>
      <c r="L108" s="845"/>
      <c r="M108" s="845"/>
      <c r="N108" s="845"/>
      <c r="O108" s="845"/>
      <c r="P108" s="845"/>
      <c r="Q108" s="252" t="s">
        <v>99</v>
      </c>
    </row>
    <row r="109" spans="1:17" ht="26.25" customHeight="1">
      <c r="A109" s="837" t="s">
        <v>106</v>
      </c>
      <c r="B109" s="789" t="s">
        <v>65</v>
      </c>
      <c r="C109" s="991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806" t="s">
        <v>263</v>
      </c>
      <c r="L109" s="792" t="s">
        <v>236</v>
      </c>
      <c r="M109" s="792" t="s">
        <v>236</v>
      </c>
      <c r="N109" s="792" t="s">
        <v>236</v>
      </c>
      <c r="O109" s="792" t="s">
        <v>236</v>
      </c>
      <c r="P109" s="792" t="s">
        <v>236</v>
      </c>
      <c r="Q109" s="252"/>
    </row>
    <row r="110" spans="1:17" ht="44.25" customHeight="1">
      <c r="A110" s="1019"/>
      <c r="B110" s="1006"/>
      <c r="C110" s="1015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1001"/>
      <c r="L110" s="1020"/>
      <c r="M110" s="1020"/>
      <c r="N110" s="1020"/>
      <c r="O110" s="1020"/>
      <c r="P110" s="1020"/>
      <c r="Q110" s="252" t="s">
        <v>160</v>
      </c>
    </row>
    <row r="111" spans="1:17" ht="34.5" customHeight="1" hidden="1">
      <c r="A111" s="1017"/>
      <c r="B111" s="1007"/>
      <c r="C111" s="992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1002"/>
      <c r="L111" s="1021"/>
      <c r="M111" s="1021"/>
      <c r="N111" s="1021"/>
      <c r="O111" s="1021"/>
      <c r="P111" s="1021"/>
      <c r="Q111" s="252"/>
    </row>
    <row r="112" spans="1:17" ht="30" customHeight="1">
      <c r="A112" s="837" t="s">
        <v>107</v>
      </c>
      <c r="B112" s="789" t="s">
        <v>59</v>
      </c>
      <c r="C112" s="991" t="s">
        <v>161</v>
      </c>
      <c r="D112" s="735" t="s">
        <v>216</v>
      </c>
      <c r="E112" s="999">
        <f aca="true" t="shared" si="28" ref="E112:J112">SUM(E119:E121)</f>
        <v>357710.1</v>
      </c>
      <c r="F112" s="999">
        <f t="shared" si="28"/>
        <v>70964.8</v>
      </c>
      <c r="G112" s="999">
        <f t="shared" si="28"/>
        <v>70737.59999999999</v>
      </c>
      <c r="H112" s="999">
        <f t="shared" si="28"/>
        <v>66929.1</v>
      </c>
      <c r="I112" s="999">
        <f t="shared" si="28"/>
        <v>74539.29999999999</v>
      </c>
      <c r="J112" s="999">
        <f t="shared" si="28"/>
        <v>74539.29999999999</v>
      </c>
      <c r="K112" s="806" t="s">
        <v>50</v>
      </c>
      <c r="L112" s="792" t="s">
        <v>266</v>
      </c>
      <c r="M112" s="792" t="s">
        <v>266</v>
      </c>
      <c r="N112" s="792" t="s">
        <v>266</v>
      </c>
      <c r="O112" s="792" t="s">
        <v>266</v>
      </c>
      <c r="P112" s="792" t="s">
        <v>266</v>
      </c>
      <c r="Q112" s="775" t="s">
        <v>51</v>
      </c>
    </row>
    <row r="113" spans="1:17" ht="5.25" customHeight="1">
      <c r="A113" s="838"/>
      <c r="B113" s="790"/>
      <c r="C113" s="858"/>
      <c r="D113" s="1023"/>
      <c r="E113" s="1024"/>
      <c r="F113" s="1024"/>
      <c r="G113" s="1024"/>
      <c r="H113" s="1024"/>
      <c r="I113" s="1024"/>
      <c r="J113" s="1024"/>
      <c r="K113" s="874"/>
      <c r="L113" s="857"/>
      <c r="M113" s="857"/>
      <c r="N113" s="857"/>
      <c r="O113" s="857"/>
      <c r="P113" s="857"/>
      <c r="Q113" s="851"/>
    </row>
    <row r="114" spans="1:17" ht="15" customHeight="1">
      <c r="A114" s="838"/>
      <c r="B114" s="790"/>
      <c r="C114" s="858"/>
      <c r="D114" s="1023"/>
      <c r="E114" s="1024"/>
      <c r="F114" s="1024"/>
      <c r="G114" s="1024"/>
      <c r="H114" s="1024"/>
      <c r="I114" s="1024"/>
      <c r="J114" s="1024"/>
      <c r="K114" s="874"/>
      <c r="L114" s="857"/>
      <c r="M114" s="857"/>
      <c r="N114" s="857"/>
      <c r="O114" s="857"/>
      <c r="P114" s="857"/>
      <c r="Q114" s="851"/>
    </row>
    <row r="115" spans="1:17" ht="4.5" customHeight="1">
      <c r="A115" s="838"/>
      <c r="B115" s="790"/>
      <c r="C115" s="858"/>
      <c r="D115" s="736"/>
      <c r="E115" s="1025"/>
      <c r="F115" s="1025"/>
      <c r="G115" s="1025"/>
      <c r="H115" s="1025"/>
      <c r="I115" s="1025"/>
      <c r="J115" s="1025"/>
      <c r="K115" s="874"/>
      <c r="L115" s="857"/>
      <c r="M115" s="857"/>
      <c r="N115" s="857"/>
      <c r="O115" s="857"/>
      <c r="P115" s="857"/>
      <c r="Q115" s="851"/>
    </row>
    <row r="116" spans="1:17" ht="15" customHeight="1">
      <c r="A116" s="776"/>
      <c r="B116" s="1022"/>
      <c r="C116" s="1015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1001"/>
      <c r="L116" s="1020"/>
      <c r="M116" s="1020"/>
      <c r="N116" s="1020"/>
      <c r="O116" s="1020"/>
      <c r="P116" s="1020"/>
      <c r="Q116" s="1026"/>
    </row>
    <row r="117" spans="1:17" ht="15" customHeight="1">
      <c r="A117" s="777"/>
      <c r="B117" s="990"/>
      <c r="C117" s="992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1002"/>
      <c r="L117" s="1021"/>
      <c r="M117" s="1021"/>
      <c r="N117" s="1021"/>
      <c r="O117" s="1021"/>
      <c r="P117" s="1021"/>
      <c r="Q117" s="996"/>
    </row>
    <row r="118" spans="1:17" ht="21" customHeight="1">
      <c r="A118" s="837" t="s">
        <v>96</v>
      </c>
      <c r="B118" s="789" t="s">
        <v>110</v>
      </c>
      <c r="C118" s="991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806" t="s">
        <v>267</v>
      </c>
      <c r="L118" s="792" t="s">
        <v>236</v>
      </c>
      <c r="M118" s="792" t="s">
        <v>236</v>
      </c>
      <c r="N118" s="792" t="s">
        <v>236</v>
      </c>
      <c r="O118" s="792" t="s">
        <v>236</v>
      </c>
      <c r="P118" s="792" t="s">
        <v>236</v>
      </c>
      <c r="Q118" s="792" t="s">
        <v>51</v>
      </c>
    </row>
    <row r="119" spans="1:17" ht="14.25" customHeight="1">
      <c r="A119" s="776"/>
      <c r="B119" s="1022"/>
      <c r="C119" s="1015"/>
      <c r="D119" s="727" t="s">
        <v>5</v>
      </c>
      <c r="E119" s="1010">
        <f>SUM(F119:J120)</f>
        <v>48435.8</v>
      </c>
      <c r="F119" s="1010">
        <v>11383.4</v>
      </c>
      <c r="G119" s="1010">
        <f>8645.2+80+3833.6-58+116</f>
        <v>12616.800000000001</v>
      </c>
      <c r="H119" s="1010">
        <v>7145.2</v>
      </c>
      <c r="I119" s="1010">
        <v>8645.2</v>
      </c>
      <c r="J119" s="1010">
        <v>8645.2</v>
      </c>
      <c r="K119" s="1001"/>
      <c r="L119" s="1020"/>
      <c r="M119" s="1020"/>
      <c r="N119" s="1020"/>
      <c r="O119" s="1020"/>
      <c r="P119" s="1020"/>
      <c r="Q119" s="1005"/>
    </row>
    <row r="120" spans="1:17" ht="14.25" customHeight="1">
      <c r="A120" s="777"/>
      <c r="B120" s="990"/>
      <c r="C120" s="992"/>
      <c r="D120" s="728"/>
      <c r="E120" s="1027"/>
      <c r="F120" s="1027"/>
      <c r="G120" s="1027"/>
      <c r="H120" s="1027"/>
      <c r="I120" s="1027"/>
      <c r="J120" s="1027"/>
      <c r="K120" s="1002"/>
      <c r="L120" s="1021"/>
      <c r="M120" s="1021"/>
      <c r="N120" s="1021"/>
      <c r="O120" s="1021"/>
      <c r="P120" s="1021"/>
      <c r="Q120" s="995"/>
    </row>
    <row r="121" spans="1:17" ht="24" customHeight="1">
      <c r="A121" s="837" t="s">
        <v>97</v>
      </c>
      <c r="B121" s="789" t="s">
        <v>108</v>
      </c>
      <c r="C121" s="991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805"/>
      <c r="L121" s="1028"/>
      <c r="M121" s="1028"/>
      <c r="N121" s="1028"/>
      <c r="O121" s="1028"/>
      <c r="P121" s="1028"/>
      <c r="Q121" s="792"/>
    </row>
    <row r="122" spans="1:17" ht="24" customHeight="1">
      <c r="A122" s="777"/>
      <c r="B122" s="990"/>
      <c r="C122" s="992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993"/>
      <c r="L122" s="994"/>
      <c r="M122" s="994"/>
      <c r="N122" s="994"/>
      <c r="O122" s="994"/>
      <c r="P122" s="994"/>
      <c r="Q122" s="995"/>
    </row>
    <row r="123" spans="1:17" ht="26.25" customHeight="1">
      <c r="A123" s="837" t="s">
        <v>112</v>
      </c>
      <c r="B123" s="789" t="s">
        <v>62</v>
      </c>
      <c r="C123" s="811" t="s">
        <v>161</v>
      </c>
      <c r="D123" s="727" t="s">
        <v>6</v>
      </c>
      <c r="E123" s="1029">
        <f>SUM(F123:J124)</f>
        <v>307975.1</v>
      </c>
      <c r="F123" s="1029">
        <f>62197.9-3100.2</f>
        <v>59097.700000000004</v>
      </c>
      <c r="G123" s="1029">
        <f>60023.4-3252.3+1134.2</f>
        <v>57905.299999999996</v>
      </c>
      <c r="H123" s="1029">
        <f>61960.9-2377</f>
        <v>59583.9</v>
      </c>
      <c r="I123" s="1029">
        <f>66483.2-789.1</f>
        <v>65694.09999999999</v>
      </c>
      <c r="J123" s="1029">
        <f>66483.2-789.1</f>
        <v>65694.09999999999</v>
      </c>
      <c r="K123" s="805" t="s">
        <v>263</v>
      </c>
      <c r="L123" s="800" t="s">
        <v>236</v>
      </c>
      <c r="M123" s="800" t="s">
        <v>236</v>
      </c>
      <c r="N123" s="800" t="s">
        <v>236</v>
      </c>
      <c r="O123" s="800" t="s">
        <v>236</v>
      </c>
      <c r="P123" s="800" t="s">
        <v>236</v>
      </c>
      <c r="Q123" s="792" t="s">
        <v>51</v>
      </c>
    </row>
    <row r="124" spans="1:17" ht="21" customHeight="1">
      <c r="A124" s="838"/>
      <c r="B124" s="790"/>
      <c r="C124" s="811"/>
      <c r="D124" s="1012"/>
      <c r="E124" s="1029"/>
      <c r="F124" s="1029"/>
      <c r="G124" s="1029"/>
      <c r="H124" s="1029"/>
      <c r="I124" s="1029"/>
      <c r="J124" s="1029"/>
      <c r="K124" s="993"/>
      <c r="L124" s="1030"/>
      <c r="M124" s="1030"/>
      <c r="N124" s="1030"/>
      <c r="O124" s="1030"/>
      <c r="P124" s="1030"/>
      <c r="Q124" s="857"/>
    </row>
    <row r="125" spans="1:17" ht="24.75" customHeight="1">
      <c r="A125" s="950" t="s">
        <v>111</v>
      </c>
      <c r="B125" s="859" t="s">
        <v>61</v>
      </c>
      <c r="C125" s="811" t="s">
        <v>161</v>
      </c>
      <c r="D125" s="727" t="s">
        <v>6</v>
      </c>
      <c r="E125" s="1029">
        <f>SUM(F125:J126)</f>
        <v>483.7</v>
      </c>
      <c r="F125" s="1029">
        <v>483.7</v>
      </c>
      <c r="G125" s="1029">
        <v>0</v>
      </c>
      <c r="H125" s="1029">
        <v>0</v>
      </c>
      <c r="I125" s="1029">
        <v>0</v>
      </c>
      <c r="J125" s="1029">
        <v>0</v>
      </c>
      <c r="K125" s="805" t="s">
        <v>263</v>
      </c>
      <c r="L125" s="800" t="s">
        <v>236</v>
      </c>
      <c r="M125" s="800" t="s">
        <v>213</v>
      </c>
      <c r="N125" s="800" t="s">
        <v>213</v>
      </c>
      <c r="O125" s="800" t="s">
        <v>213</v>
      </c>
      <c r="P125" s="800" t="s">
        <v>213</v>
      </c>
      <c r="Q125" s="800" t="s">
        <v>51</v>
      </c>
    </row>
    <row r="126" spans="1:17" ht="68.25" customHeight="1">
      <c r="A126" s="950"/>
      <c r="B126" s="859"/>
      <c r="C126" s="811"/>
      <c r="D126" s="728"/>
      <c r="E126" s="1031"/>
      <c r="F126" s="1031"/>
      <c r="G126" s="1031"/>
      <c r="H126" s="1031"/>
      <c r="I126" s="1031"/>
      <c r="J126" s="1031"/>
      <c r="K126" s="993"/>
      <c r="L126" s="1030"/>
      <c r="M126" s="1030"/>
      <c r="N126" s="1030"/>
      <c r="O126" s="1030"/>
      <c r="P126" s="1030"/>
      <c r="Q126" s="800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837" t="s">
        <v>113</v>
      </c>
      <c r="B128" s="789" t="s">
        <v>60</v>
      </c>
      <c r="C128" s="991" t="s">
        <v>161</v>
      </c>
      <c r="D128" s="997" t="s">
        <v>249</v>
      </c>
      <c r="E128" s="1033">
        <f>SUM(F128:J130)</f>
        <v>56787.09999999999</v>
      </c>
      <c r="F128" s="999">
        <f>F131+F132</f>
        <v>13374.299999999997</v>
      </c>
      <c r="G128" s="999">
        <f>G131+G132</f>
        <v>12124.699999999999</v>
      </c>
      <c r="H128" s="999">
        <f>H131+H132</f>
        <v>9357.9</v>
      </c>
      <c r="I128" s="999">
        <f>I131+I132</f>
        <v>10965.099999999999</v>
      </c>
      <c r="J128" s="999">
        <f>J131+J132</f>
        <v>10965.099999999999</v>
      </c>
      <c r="K128" s="789" t="s">
        <v>268</v>
      </c>
      <c r="L128" s="1035" t="s">
        <v>269</v>
      </c>
      <c r="M128" s="1035" t="s">
        <v>269</v>
      </c>
      <c r="N128" s="1035" t="s">
        <v>270</v>
      </c>
      <c r="O128" s="1035" t="s">
        <v>270</v>
      </c>
      <c r="P128" s="1035" t="s">
        <v>270</v>
      </c>
      <c r="Q128" s="775"/>
    </row>
    <row r="129" spans="1:17" ht="12" customHeight="1">
      <c r="A129" s="838"/>
      <c r="B129" s="790"/>
      <c r="C129" s="858"/>
      <c r="D129" s="1032"/>
      <c r="E129" s="1034"/>
      <c r="F129" s="1024"/>
      <c r="G129" s="1024"/>
      <c r="H129" s="1024"/>
      <c r="I129" s="1024"/>
      <c r="J129" s="1024"/>
      <c r="K129" s="790"/>
      <c r="L129" s="1036"/>
      <c r="M129" s="1036"/>
      <c r="N129" s="1036"/>
      <c r="O129" s="1036"/>
      <c r="P129" s="1036"/>
      <c r="Q129" s="851"/>
    </row>
    <row r="130" spans="1:17" ht="9.75" customHeight="1">
      <c r="A130" s="838"/>
      <c r="B130" s="790"/>
      <c r="C130" s="858"/>
      <c r="D130" s="998"/>
      <c r="E130" s="1034"/>
      <c r="F130" s="1024"/>
      <c r="G130" s="1024"/>
      <c r="H130" s="1024"/>
      <c r="I130" s="1024"/>
      <c r="J130" s="1024"/>
      <c r="K130" s="790"/>
      <c r="L130" s="1036"/>
      <c r="M130" s="1036"/>
      <c r="N130" s="1036"/>
      <c r="O130" s="1036"/>
      <c r="P130" s="1036"/>
      <c r="Q130" s="851"/>
    </row>
    <row r="131" spans="1:17" ht="12.75" customHeight="1">
      <c r="A131" s="776"/>
      <c r="B131" s="1022"/>
      <c r="C131" s="1015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1022"/>
      <c r="L131" s="1036"/>
      <c r="M131" s="1036"/>
      <c r="N131" s="1036"/>
      <c r="O131" s="1036"/>
      <c r="P131" s="1036"/>
      <c r="Q131" s="1026"/>
    </row>
    <row r="132" spans="1:17" ht="12.75" customHeight="1">
      <c r="A132" s="777"/>
      <c r="B132" s="990"/>
      <c r="C132" s="992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990"/>
      <c r="L132" s="1037"/>
      <c r="M132" s="1037"/>
      <c r="N132" s="1037"/>
      <c r="O132" s="1037"/>
      <c r="P132" s="1037"/>
      <c r="Q132" s="996"/>
    </row>
    <row r="133" spans="1:17" ht="24" customHeight="1">
      <c r="A133" s="837" t="s">
        <v>98</v>
      </c>
      <c r="B133" s="789" t="s">
        <v>114</v>
      </c>
      <c r="C133" s="991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805" t="s">
        <v>267</v>
      </c>
      <c r="L133" s="1035" t="s">
        <v>236</v>
      </c>
      <c r="M133" s="1035" t="s">
        <v>236</v>
      </c>
      <c r="N133" s="1035" t="s">
        <v>236</v>
      </c>
      <c r="O133" s="1035" t="s">
        <v>236</v>
      </c>
      <c r="P133" s="1035" t="s">
        <v>236</v>
      </c>
      <c r="Q133" s="800" t="s">
        <v>142</v>
      </c>
    </row>
    <row r="134" spans="1:17" ht="9" customHeight="1">
      <c r="A134" s="776"/>
      <c r="B134" s="1022"/>
      <c r="C134" s="1015"/>
      <c r="D134" s="727" t="s">
        <v>5</v>
      </c>
      <c r="E134" s="1029">
        <f>SUM(F134:J135)</f>
        <v>49574.59999999999</v>
      </c>
      <c r="F134" s="1010">
        <f>10904.3-89.1-29.7+1056.9</f>
        <v>11842.399999999998</v>
      </c>
      <c r="G134" s="1010">
        <f>9551.8+1105-80</f>
        <v>10576.8</v>
      </c>
      <c r="H134" s="1010">
        <v>8051.8</v>
      </c>
      <c r="I134" s="1010">
        <v>9551.8</v>
      </c>
      <c r="J134" s="1010">
        <v>9551.8</v>
      </c>
      <c r="K134" s="1038"/>
      <c r="L134" s="1036"/>
      <c r="M134" s="1036"/>
      <c r="N134" s="1036"/>
      <c r="O134" s="1036"/>
      <c r="P134" s="1036"/>
      <c r="Q134" s="994"/>
    </row>
    <row r="135" spans="1:17" ht="5.25" customHeight="1">
      <c r="A135" s="777"/>
      <c r="B135" s="990"/>
      <c r="C135" s="992"/>
      <c r="D135" s="728"/>
      <c r="E135" s="1031"/>
      <c r="F135" s="1027"/>
      <c r="G135" s="1027"/>
      <c r="H135" s="1027"/>
      <c r="I135" s="1027"/>
      <c r="J135" s="1027"/>
      <c r="K135" s="1038"/>
      <c r="L135" s="1037"/>
      <c r="M135" s="1037"/>
      <c r="N135" s="1037"/>
      <c r="O135" s="1037"/>
      <c r="P135" s="1037"/>
      <c r="Q135" s="994"/>
    </row>
    <row r="136" spans="1:17" ht="25.5" customHeight="1">
      <c r="A136" s="950" t="s">
        <v>115</v>
      </c>
      <c r="B136" s="859" t="s">
        <v>67</v>
      </c>
      <c r="C136" s="991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806" t="s">
        <v>264</v>
      </c>
      <c r="L136" s="792" t="s">
        <v>236</v>
      </c>
      <c r="M136" s="792" t="s">
        <v>236</v>
      </c>
      <c r="N136" s="792" t="s">
        <v>236</v>
      </c>
      <c r="O136" s="792" t="s">
        <v>236</v>
      </c>
      <c r="P136" s="792" t="s">
        <v>236</v>
      </c>
      <c r="Q136" s="792" t="s">
        <v>142</v>
      </c>
    </row>
    <row r="137" spans="1:17" ht="16.5" customHeight="1">
      <c r="A137" s="962"/>
      <c r="B137" s="1039"/>
      <c r="C137" s="1015"/>
      <c r="D137" s="727" t="s">
        <v>6</v>
      </c>
      <c r="E137" s="1040">
        <f>SUM(F137:J140)</f>
        <v>7212.5</v>
      </c>
      <c r="F137" s="1040">
        <v>1531.9</v>
      </c>
      <c r="G137" s="1040">
        <v>1547.9</v>
      </c>
      <c r="H137" s="1040">
        <f>1606.1-300</f>
        <v>1306.1</v>
      </c>
      <c r="I137" s="1040">
        <f>1706.1-292.8</f>
        <v>1413.3</v>
      </c>
      <c r="J137" s="1040">
        <f>1706.1-292.8</f>
        <v>1413.3</v>
      </c>
      <c r="K137" s="1001"/>
      <c r="L137" s="1041"/>
      <c r="M137" s="1041"/>
      <c r="N137" s="1041"/>
      <c r="O137" s="1041"/>
      <c r="P137" s="1041"/>
      <c r="Q137" s="1005"/>
    </row>
    <row r="138" spans="1:17" ht="11.25" customHeight="1">
      <c r="A138" s="962"/>
      <c r="B138" s="1039"/>
      <c r="C138" s="1015"/>
      <c r="D138" s="1013"/>
      <c r="E138" s="1040"/>
      <c r="F138" s="1040"/>
      <c r="G138" s="1040"/>
      <c r="H138" s="1040"/>
      <c r="I138" s="1040"/>
      <c r="J138" s="1040"/>
      <c r="K138" s="1001"/>
      <c r="L138" s="1041"/>
      <c r="M138" s="1041"/>
      <c r="N138" s="1041"/>
      <c r="O138" s="1041"/>
      <c r="P138" s="1041"/>
      <c r="Q138" s="1005"/>
    </row>
    <row r="139" spans="1:17" ht="27.75" customHeight="1" thickBot="1">
      <c r="A139" s="962"/>
      <c r="B139" s="1039"/>
      <c r="C139" s="1015"/>
      <c r="D139" s="1013"/>
      <c r="E139" s="1040"/>
      <c r="F139" s="1040"/>
      <c r="G139" s="1040"/>
      <c r="H139" s="1040"/>
      <c r="I139" s="1040"/>
      <c r="J139" s="1040"/>
      <c r="K139" s="1001"/>
      <c r="L139" s="1041"/>
      <c r="M139" s="1041"/>
      <c r="N139" s="1041"/>
      <c r="O139" s="1041"/>
      <c r="P139" s="1041"/>
      <c r="Q139" s="1005"/>
    </row>
    <row r="140" spans="1:17" ht="12.75" customHeight="1" hidden="1">
      <c r="A140" s="962"/>
      <c r="B140" s="1039"/>
      <c r="C140" s="1015"/>
      <c r="D140" s="1013"/>
      <c r="E140" s="1010"/>
      <c r="F140" s="1010"/>
      <c r="G140" s="1010"/>
      <c r="H140" s="1010"/>
      <c r="I140" s="1010"/>
      <c r="J140" s="1010"/>
      <c r="K140" s="1002"/>
      <c r="L140" s="1042"/>
      <c r="M140" s="1042"/>
      <c r="N140" s="1042"/>
      <c r="O140" s="1042"/>
      <c r="P140" s="1042"/>
      <c r="Q140" s="995"/>
    </row>
    <row r="141" spans="1:17" ht="12" customHeight="1">
      <c r="A141" s="926"/>
      <c r="B141" s="1043" t="s">
        <v>49</v>
      </c>
      <c r="C141" s="811"/>
      <c r="D141" s="307" t="s">
        <v>11</v>
      </c>
      <c r="E141" s="1044">
        <f aca="true" t="shared" si="37" ref="E141:J141">SUM(E143:E144)</f>
        <v>778213.6</v>
      </c>
      <c r="F141" s="1044">
        <f t="shared" si="37"/>
        <v>159427.1</v>
      </c>
      <c r="G141" s="1044">
        <f t="shared" si="37"/>
        <v>158005.8</v>
      </c>
      <c r="H141" s="1044">
        <f t="shared" si="37"/>
        <v>143553.90000000002</v>
      </c>
      <c r="I141" s="1044">
        <f t="shared" si="37"/>
        <v>158613.4</v>
      </c>
      <c r="J141" s="1046">
        <f t="shared" si="37"/>
        <v>158613.4</v>
      </c>
      <c r="K141" s="1048"/>
      <c r="L141" s="1049"/>
      <c r="M141" s="1049"/>
      <c r="N141" s="1049"/>
      <c r="O141" s="1049"/>
      <c r="P141" s="1049"/>
      <c r="Q141" s="836"/>
    </row>
    <row r="142" spans="1:17" ht="12" customHeight="1">
      <c r="A142" s="926"/>
      <c r="B142" s="1043"/>
      <c r="C142" s="811"/>
      <c r="D142" s="308" t="s">
        <v>12</v>
      </c>
      <c r="E142" s="1045"/>
      <c r="F142" s="1045"/>
      <c r="G142" s="1045"/>
      <c r="H142" s="1045"/>
      <c r="I142" s="1045"/>
      <c r="J142" s="1047"/>
      <c r="K142" s="1048"/>
      <c r="L142" s="733"/>
      <c r="M142" s="733"/>
      <c r="N142" s="733"/>
      <c r="O142" s="733"/>
      <c r="P142" s="733"/>
      <c r="Q142" s="836"/>
    </row>
    <row r="143" spans="1:17" ht="12" customHeight="1">
      <c r="A143" s="926"/>
      <c r="B143" s="1043"/>
      <c r="C143" s="811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1048"/>
      <c r="L143" s="733"/>
      <c r="M143" s="733"/>
      <c r="N143" s="733"/>
      <c r="O143" s="733"/>
      <c r="P143" s="733"/>
      <c r="Q143" s="836"/>
    </row>
    <row r="144" spans="1:17" ht="12" customHeight="1" thickBot="1">
      <c r="A144" s="926"/>
      <c r="B144" s="1043"/>
      <c r="C144" s="811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1048"/>
      <c r="L144" s="733"/>
      <c r="M144" s="733"/>
      <c r="N144" s="733"/>
      <c r="O144" s="733"/>
      <c r="P144" s="733"/>
      <c r="Q144" s="836"/>
    </row>
    <row r="145" spans="1:17" ht="15" customHeight="1">
      <c r="A145" s="97" t="s">
        <v>116</v>
      </c>
      <c r="B145" s="1050" t="s">
        <v>117</v>
      </c>
      <c r="C145" s="1051"/>
      <c r="D145" s="1051"/>
      <c r="E145" s="1051"/>
      <c r="F145" s="1051"/>
      <c r="G145" s="1051"/>
      <c r="H145" s="1051"/>
      <c r="I145" s="1051"/>
      <c r="J145" s="1051"/>
      <c r="K145" s="1051"/>
      <c r="L145" s="1051"/>
      <c r="M145" s="1051"/>
      <c r="N145" s="1051"/>
      <c r="O145" s="1051"/>
      <c r="P145" s="1051"/>
      <c r="Q145" s="1052"/>
    </row>
    <row r="146" spans="1:17" ht="81.75" customHeight="1">
      <c r="A146" s="199" t="s">
        <v>118</v>
      </c>
      <c r="B146" s="300" t="s">
        <v>71</v>
      </c>
      <c r="C146" s="836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806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792" t="s">
        <v>51</v>
      </c>
    </row>
    <row r="147" spans="1:17" ht="48" customHeight="1">
      <c r="A147" s="1056" t="s">
        <v>287</v>
      </c>
      <c r="B147" s="769" t="s">
        <v>286</v>
      </c>
      <c r="C147" s="1053"/>
      <c r="D147" s="733" t="s">
        <v>6</v>
      </c>
      <c r="E147" s="1040">
        <f>SUM(F147:J148)</f>
        <v>742.6</v>
      </c>
      <c r="F147" s="1029">
        <v>98.5</v>
      </c>
      <c r="G147" s="1029">
        <f>136.6-0.4</f>
        <v>136.2</v>
      </c>
      <c r="H147" s="1029">
        <f>130+36.7</f>
        <v>166.7</v>
      </c>
      <c r="I147" s="1029">
        <f>118.5+52.1</f>
        <v>170.6</v>
      </c>
      <c r="J147" s="1029">
        <f>118.5+52.1</f>
        <v>170.6</v>
      </c>
      <c r="K147" s="1001"/>
      <c r="L147" s="1003">
        <v>100</v>
      </c>
      <c r="M147" s="1003">
        <v>100</v>
      </c>
      <c r="N147" s="1003">
        <v>100</v>
      </c>
      <c r="O147" s="1003">
        <v>100</v>
      </c>
      <c r="P147" s="1003">
        <v>100</v>
      </c>
      <c r="Q147" s="1054"/>
    </row>
    <row r="148" spans="1:17" ht="30.75" customHeight="1">
      <c r="A148" s="962"/>
      <c r="B148" s="990"/>
      <c r="C148" s="1053"/>
      <c r="D148" s="733"/>
      <c r="E148" s="733"/>
      <c r="F148" s="1029"/>
      <c r="G148" s="1029"/>
      <c r="H148" s="1029"/>
      <c r="I148" s="1029"/>
      <c r="J148" s="1029"/>
      <c r="K148" s="1001"/>
      <c r="L148" s="1057"/>
      <c r="M148" s="1057"/>
      <c r="N148" s="1057"/>
      <c r="O148" s="1057"/>
      <c r="P148" s="1057"/>
      <c r="Q148" s="1054"/>
    </row>
    <row r="149" spans="1:17" ht="25.5" customHeight="1">
      <c r="A149" s="204" t="s">
        <v>288</v>
      </c>
      <c r="B149" s="300" t="s">
        <v>204</v>
      </c>
      <c r="C149" s="1053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1002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1055"/>
    </row>
    <row r="150" spans="1:17" ht="21" customHeight="1">
      <c r="A150" s="837" t="s">
        <v>119</v>
      </c>
      <c r="B150" s="789" t="s">
        <v>70</v>
      </c>
      <c r="C150" s="991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806" t="s">
        <v>274</v>
      </c>
      <c r="L150" s="792" t="s">
        <v>275</v>
      </c>
      <c r="M150" s="792" t="s">
        <v>275</v>
      </c>
      <c r="N150" s="792" t="s">
        <v>275</v>
      </c>
      <c r="O150" s="792" t="s">
        <v>275</v>
      </c>
      <c r="P150" s="792" t="s">
        <v>275</v>
      </c>
      <c r="Q150" s="792" t="s">
        <v>51</v>
      </c>
    </row>
    <row r="151" spans="1:17" ht="15.75" customHeight="1">
      <c r="A151" s="909"/>
      <c r="B151" s="1022"/>
      <c r="C151" s="1058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1001"/>
      <c r="L151" s="857"/>
      <c r="M151" s="857"/>
      <c r="N151" s="857"/>
      <c r="O151" s="857"/>
      <c r="P151" s="857"/>
      <c r="Q151" s="1005"/>
    </row>
    <row r="152" spans="1:17" ht="21" customHeight="1">
      <c r="A152" s="910"/>
      <c r="B152" s="990"/>
      <c r="C152" s="1059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1002"/>
      <c r="L152" s="845"/>
      <c r="M152" s="845"/>
      <c r="N152" s="845"/>
      <c r="O152" s="845"/>
      <c r="P152" s="845"/>
      <c r="Q152" s="995"/>
    </row>
    <row r="153" spans="1:17" ht="14.25" customHeight="1">
      <c r="A153" s="837" t="s">
        <v>120</v>
      </c>
      <c r="B153" s="789" t="s">
        <v>133</v>
      </c>
      <c r="C153" s="991" t="s">
        <v>161</v>
      </c>
      <c r="D153" s="997" t="s">
        <v>296</v>
      </c>
      <c r="E153" s="1060">
        <f aca="true" t="shared" si="40" ref="E153:J153">SUM(E157,E163)</f>
        <v>715.4</v>
      </c>
      <c r="F153" s="1060">
        <f t="shared" si="40"/>
        <v>607.4</v>
      </c>
      <c r="G153" s="1060">
        <f t="shared" si="40"/>
        <v>27</v>
      </c>
      <c r="H153" s="1060">
        <f t="shared" si="40"/>
        <v>27</v>
      </c>
      <c r="I153" s="1060">
        <f t="shared" si="40"/>
        <v>27</v>
      </c>
      <c r="J153" s="1060">
        <f t="shared" si="40"/>
        <v>27</v>
      </c>
      <c r="K153" s="806" t="s">
        <v>263</v>
      </c>
      <c r="L153" s="792" t="s">
        <v>236</v>
      </c>
      <c r="M153" s="792" t="s">
        <v>236</v>
      </c>
      <c r="N153" s="792" t="s">
        <v>236</v>
      </c>
      <c r="O153" s="792" t="s">
        <v>236</v>
      </c>
      <c r="P153" s="792" t="s">
        <v>236</v>
      </c>
      <c r="Q153" s="792" t="s">
        <v>51</v>
      </c>
    </row>
    <row r="154" spans="1:17" ht="11.25" customHeight="1">
      <c r="A154" s="838"/>
      <c r="B154" s="790"/>
      <c r="C154" s="858"/>
      <c r="D154" s="998"/>
      <c r="E154" s="1060"/>
      <c r="F154" s="1060"/>
      <c r="G154" s="1060"/>
      <c r="H154" s="1060"/>
      <c r="I154" s="1060"/>
      <c r="J154" s="1060"/>
      <c r="K154" s="874"/>
      <c r="L154" s="857"/>
      <c r="M154" s="857"/>
      <c r="N154" s="857"/>
      <c r="O154" s="857"/>
      <c r="P154" s="857"/>
      <c r="Q154" s="857"/>
    </row>
    <row r="155" spans="1:17" ht="11.25" customHeight="1">
      <c r="A155" s="777"/>
      <c r="B155" s="990"/>
      <c r="C155" s="992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1002"/>
      <c r="L155" s="845"/>
      <c r="M155" s="845"/>
      <c r="N155" s="845"/>
      <c r="O155" s="845"/>
      <c r="P155" s="845"/>
      <c r="Q155" s="995"/>
    </row>
    <row r="156" spans="1:17" ht="21" customHeight="1">
      <c r="A156" s="837" t="s">
        <v>121</v>
      </c>
      <c r="B156" s="789" t="s">
        <v>68</v>
      </c>
      <c r="C156" s="991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806" t="s">
        <v>279</v>
      </c>
      <c r="L156" s="1061" t="s">
        <v>276</v>
      </c>
      <c r="M156" s="1061" t="s">
        <v>277</v>
      </c>
      <c r="N156" s="1061" t="s">
        <v>278</v>
      </c>
      <c r="O156" s="1061" t="s">
        <v>278</v>
      </c>
      <c r="P156" s="1061" t="s">
        <v>278</v>
      </c>
      <c r="Q156" s="792" t="s">
        <v>51</v>
      </c>
    </row>
    <row r="157" spans="1:17" ht="21" customHeight="1">
      <c r="A157" s="776"/>
      <c r="B157" s="1022"/>
      <c r="C157" s="1015"/>
      <c r="D157" s="727" t="s">
        <v>5</v>
      </c>
      <c r="E157" s="1010">
        <f>SUM(F157:H158)</f>
        <v>542.4</v>
      </c>
      <c r="F157" s="1010">
        <f>250+292.4</f>
        <v>542.4</v>
      </c>
      <c r="G157" s="1010">
        <v>0</v>
      </c>
      <c r="H157" s="1010">
        <v>0</v>
      </c>
      <c r="I157" s="1010">
        <v>0</v>
      </c>
      <c r="J157" s="1010">
        <v>0</v>
      </c>
      <c r="K157" s="1001"/>
      <c r="L157" s="857"/>
      <c r="M157" s="857"/>
      <c r="N157" s="857"/>
      <c r="O157" s="857"/>
      <c r="P157" s="857"/>
      <c r="Q157" s="1005"/>
    </row>
    <row r="158" spans="1:17" ht="6.75" customHeight="1">
      <c r="A158" s="777"/>
      <c r="B158" s="990"/>
      <c r="C158" s="992"/>
      <c r="D158" s="728"/>
      <c r="E158" s="1027"/>
      <c r="F158" s="1027"/>
      <c r="G158" s="1027"/>
      <c r="H158" s="1027"/>
      <c r="I158" s="1027"/>
      <c r="J158" s="1027"/>
      <c r="K158" s="1002"/>
      <c r="L158" s="845"/>
      <c r="M158" s="845"/>
      <c r="N158" s="845"/>
      <c r="O158" s="845"/>
      <c r="P158" s="845"/>
      <c r="Q158" s="995"/>
    </row>
    <row r="159" spans="1:17" ht="24" customHeight="1">
      <c r="A159" s="837" t="s">
        <v>122</v>
      </c>
      <c r="B159" s="789" t="s">
        <v>153</v>
      </c>
      <c r="C159" s="991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806" t="s">
        <v>281</v>
      </c>
      <c r="L159" s="1061" t="s">
        <v>280</v>
      </c>
      <c r="M159" s="1061" t="s">
        <v>282</v>
      </c>
      <c r="N159" s="1061" t="s">
        <v>283</v>
      </c>
      <c r="O159" s="1061" t="s">
        <v>283</v>
      </c>
      <c r="P159" s="1061" t="s">
        <v>283</v>
      </c>
      <c r="Q159" s="792" t="s">
        <v>51</v>
      </c>
    </row>
    <row r="160" spans="1:17" ht="17.25" customHeight="1">
      <c r="A160" s="776"/>
      <c r="B160" s="1022"/>
      <c r="C160" s="1015"/>
      <c r="D160" s="727" t="s">
        <v>5</v>
      </c>
      <c r="E160" s="1010">
        <f>SUM(F160:H161)</f>
        <v>0</v>
      </c>
      <c r="F160" s="1010">
        <f>20-20</f>
        <v>0</v>
      </c>
      <c r="G160" s="1010">
        <v>0</v>
      </c>
      <c r="H160" s="1010">
        <v>0</v>
      </c>
      <c r="I160" s="1010">
        <v>0</v>
      </c>
      <c r="J160" s="1010">
        <v>0</v>
      </c>
      <c r="K160" s="1001"/>
      <c r="L160" s="1020"/>
      <c r="M160" s="1020"/>
      <c r="N160" s="1020"/>
      <c r="O160" s="1020"/>
      <c r="P160" s="1020"/>
      <c r="Q160" s="1005"/>
    </row>
    <row r="161" spans="1:17" ht="12" customHeight="1">
      <c r="A161" s="777"/>
      <c r="B161" s="990"/>
      <c r="C161" s="992"/>
      <c r="D161" s="728"/>
      <c r="E161" s="1027"/>
      <c r="F161" s="1027"/>
      <c r="G161" s="1027"/>
      <c r="H161" s="1027"/>
      <c r="I161" s="1027"/>
      <c r="J161" s="1027"/>
      <c r="K161" s="1002"/>
      <c r="L161" s="1021"/>
      <c r="M161" s="1021"/>
      <c r="N161" s="1021"/>
      <c r="O161" s="1021"/>
      <c r="P161" s="1021"/>
      <c r="Q161" s="995"/>
    </row>
    <row r="162" spans="1:17" ht="21.75" customHeight="1">
      <c r="A162" s="837" t="s">
        <v>123</v>
      </c>
      <c r="B162" s="789" t="s">
        <v>69</v>
      </c>
      <c r="C162" s="991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806" t="s">
        <v>284</v>
      </c>
      <c r="L162" s="1061" t="s">
        <v>236</v>
      </c>
      <c r="M162" s="1061" t="s">
        <v>236</v>
      </c>
      <c r="N162" s="1061" t="s">
        <v>236</v>
      </c>
      <c r="O162" s="1061" t="s">
        <v>236</v>
      </c>
      <c r="P162" s="1061" t="s">
        <v>236</v>
      </c>
      <c r="Q162" s="792" t="s">
        <v>51</v>
      </c>
    </row>
    <row r="163" spans="1:17" ht="21.75" customHeight="1">
      <c r="A163" s="776"/>
      <c r="B163" s="1022"/>
      <c r="C163" s="1015"/>
      <c r="D163" s="727" t="s">
        <v>5</v>
      </c>
      <c r="E163" s="1010">
        <f>SUM(F163:J163)</f>
        <v>173</v>
      </c>
      <c r="F163" s="1010">
        <v>65</v>
      </c>
      <c r="G163" s="1010">
        <v>27</v>
      </c>
      <c r="H163" s="1010">
        <v>27</v>
      </c>
      <c r="I163" s="1010">
        <v>27</v>
      </c>
      <c r="J163" s="1010">
        <v>27</v>
      </c>
      <c r="K163" s="1002"/>
      <c r="L163" s="995"/>
      <c r="M163" s="995"/>
      <c r="N163" s="995"/>
      <c r="O163" s="995"/>
      <c r="P163" s="995"/>
      <c r="Q163" s="1005"/>
    </row>
    <row r="164" spans="1:17" ht="23.25" customHeight="1" thickBot="1">
      <c r="A164" s="777"/>
      <c r="B164" s="990"/>
      <c r="C164" s="992"/>
      <c r="D164" s="1012"/>
      <c r="E164" s="1011"/>
      <c r="F164" s="1011"/>
      <c r="G164" s="1011"/>
      <c r="H164" s="1011"/>
      <c r="I164" s="1011"/>
      <c r="J164" s="1011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995"/>
    </row>
    <row r="165" spans="1:17" ht="12" customHeight="1">
      <c r="A165" s="926"/>
      <c r="B165" s="1043" t="s">
        <v>124</v>
      </c>
      <c r="C165" s="811"/>
      <c r="D165" s="307" t="s">
        <v>11</v>
      </c>
      <c r="E165" s="1044">
        <f aca="true" t="shared" si="45" ref="E165:J165">SUM(E167:E168)</f>
        <v>14661.5</v>
      </c>
      <c r="F165" s="1044">
        <f t="shared" si="45"/>
        <v>3196.6</v>
      </c>
      <c r="G165" s="1044">
        <f t="shared" si="45"/>
        <v>3089.2</v>
      </c>
      <c r="H165" s="1044">
        <f t="shared" si="45"/>
        <v>2789.3</v>
      </c>
      <c r="I165" s="1044">
        <f t="shared" si="45"/>
        <v>2793.2</v>
      </c>
      <c r="J165" s="1046">
        <f t="shared" si="45"/>
        <v>2793.2</v>
      </c>
      <c r="K165" s="1064"/>
      <c r="L165" s="1049"/>
      <c r="M165" s="1049"/>
      <c r="N165" s="1049"/>
      <c r="O165" s="1049"/>
      <c r="P165" s="1049"/>
      <c r="Q165" s="836"/>
    </row>
    <row r="166" spans="1:17" ht="12" customHeight="1">
      <c r="A166" s="926"/>
      <c r="B166" s="1043"/>
      <c r="C166" s="811"/>
      <c r="D166" s="308" t="s">
        <v>297</v>
      </c>
      <c r="E166" s="1045"/>
      <c r="F166" s="1045"/>
      <c r="G166" s="1045"/>
      <c r="H166" s="1045"/>
      <c r="I166" s="1045"/>
      <c r="J166" s="1047"/>
      <c r="K166" s="1065"/>
      <c r="L166" s="733"/>
      <c r="M166" s="733"/>
      <c r="N166" s="733"/>
      <c r="O166" s="733"/>
      <c r="P166" s="733"/>
      <c r="Q166" s="836"/>
    </row>
    <row r="167" spans="1:17" ht="12" customHeight="1">
      <c r="A167" s="926"/>
      <c r="B167" s="1043"/>
      <c r="C167" s="811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1065"/>
      <c r="L167" s="733"/>
      <c r="M167" s="733"/>
      <c r="N167" s="733"/>
      <c r="O167" s="733"/>
      <c r="P167" s="733"/>
      <c r="Q167" s="836"/>
    </row>
    <row r="168" spans="1:17" ht="12" customHeight="1" thickBot="1">
      <c r="A168" s="926"/>
      <c r="B168" s="1062"/>
      <c r="C168" s="1063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1066"/>
      <c r="L168" s="733"/>
      <c r="M168" s="733"/>
      <c r="N168" s="733"/>
      <c r="O168" s="733"/>
      <c r="P168" s="733"/>
      <c r="Q168" s="836"/>
    </row>
    <row r="169" spans="1:17" ht="15.75" customHeight="1">
      <c r="A169" s="927"/>
      <c r="B169" s="1067" t="s">
        <v>13</v>
      </c>
      <c r="C169" s="811"/>
      <c r="D169" s="1068" t="s">
        <v>296</v>
      </c>
      <c r="E169" s="1070">
        <f aca="true" t="shared" si="46" ref="E169:J169">SUM(E171:E172)</f>
        <v>808286.4000000001</v>
      </c>
      <c r="F169" s="1044">
        <f t="shared" si="46"/>
        <v>173578.2</v>
      </c>
      <c r="G169" s="1070">
        <f>SUM(G171:G172)</f>
        <v>164366.8</v>
      </c>
      <c r="H169" s="1044">
        <f t="shared" si="46"/>
        <v>146738.2</v>
      </c>
      <c r="I169" s="1044">
        <f t="shared" si="46"/>
        <v>161801.6</v>
      </c>
      <c r="J169" s="1046">
        <f t="shared" si="46"/>
        <v>161801.6</v>
      </c>
      <c r="K169" s="1048"/>
      <c r="L169" s="733"/>
      <c r="M169" s="733"/>
      <c r="N169" s="733"/>
      <c r="O169" s="733"/>
      <c r="P169" s="733"/>
      <c r="Q169" s="836"/>
    </row>
    <row r="170" spans="1:17" ht="15.75" customHeight="1">
      <c r="A170" s="927"/>
      <c r="B170" s="1067"/>
      <c r="C170" s="811"/>
      <c r="D170" s="1069"/>
      <c r="E170" s="1071"/>
      <c r="F170" s="1045"/>
      <c r="G170" s="1071"/>
      <c r="H170" s="1045"/>
      <c r="I170" s="1045"/>
      <c r="J170" s="1047"/>
      <c r="K170" s="1048"/>
      <c r="L170" s="733"/>
      <c r="M170" s="733"/>
      <c r="N170" s="733"/>
      <c r="O170" s="733"/>
      <c r="P170" s="733"/>
      <c r="Q170" s="836"/>
    </row>
    <row r="171" spans="1:17" ht="15.75" customHeight="1">
      <c r="A171" s="927"/>
      <c r="B171" s="1067"/>
      <c r="C171" s="811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1048"/>
      <c r="L171" s="733"/>
      <c r="M171" s="733"/>
      <c r="N171" s="733"/>
      <c r="O171" s="733"/>
      <c r="P171" s="733"/>
      <c r="Q171" s="836"/>
    </row>
    <row r="172" spans="1:17" ht="15.75" customHeight="1" thickBot="1">
      <c r="A172" s="927"/>
      <c r="B172" s="1067"/>
      <c r="C172" s="811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1048"/>
      <c r="L172" s="733"/>
      <c r="M172" s="733"/>
      <c r="N172" s="733"/>
      <c r="O172" s="733"/>
      <c r="P172" s="733"/>
      <c r="Q172" s="836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F169:F170"/>
    <mergeCell ref="H165:H166"/>
    <mergeCell ref="I165:I166"/>
    <mergeCell ref="J165:J166"/>
    <mergeCell ref="K165:K168"/>
    <mergeCell ref="L165:L168"/>
    <mergeCell ref="L169:L172"/>
    <mergeCell ref="M165:M168"/>
    <mergeCell ref="A165:A168"/>
    <mergeCell ref="B165:B168"/>
    <mergeCell ref="C165:C168"/>
    <mergeCell ref="E165:E166"/>
    <mergeCell ref="F165:F166"/>
    <mergeCell ref="G165:G166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A162:A164"/>
    <mergeCell ref="B162:B164"/>
    <mergeCell ref="C162:C164"/>
    <mergeCell ref="K162:K163"/>
    <mergeCell ref="L162:L163"/>
    <mergeCell ref="M162:M163"/>
    <mergeCell ref="J163:J164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59:A161"/>
    <mergeCell ref="B159:B161"/>
    <mergeCell ref="C159:C161"/>
    <mergeCell ref="K159:K161"/>
    <mergeCell ref="L159:L161"/>
    <mergeCell ref="M159:M161"/>
    <mergeCell ref="J160:J161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6:A158"/>
    <mergeCell ref="B156:B158"/>
    <mergeCell ref="C156:C158"/>
    <mergeCell ref="K156:K158"/>
    <mergeCell ref="L156:L158"/>
    <mergeCell ref="M156:M158"/>
    <mergeCell ref="J157:J158"/>
    <mergeCell ref="L153:L155"/>
    <mergeCell ref="M153:M155"/>
    <mergeCell ref="N153:N155"/>
    <mergeCell ref="O153:O155"/>
    <mergeCell ref="P153:P155"/>
    <mergeCell ref="Q153:Q155"/>
    <mergeCell ref="F153:F154"/>
    <mergeCell ref="G153:G154"/>
    <mergeCell ref="H153:H154"/>
    <mergeCell ref="I153:I154"/>
    <mergeCell ref="J153:J154"/>
    <mergeCell ref="K153:K155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A147:A148"/>
    <mergeCell ref="B147:B148"/>
    <mergeCell ref="D147:D148"/>
    <mergeCell ref="E147:E148"/>
    <mergeCell ref="F147:F148"/>
    <mergeCell ref="G147:G148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I141:I142"/>
    <mergeCell ref="J141:J142"/>
    <mergeCell ref="K141:K144"/>
    <mergeCell ref="L141:L144"/>
    <mergeCell ref="M141:M144"/>
    <mergeCell ref="N141:N144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L136:L140"/>
    <mergeCell ref="M136:M140"/>
    <mergeCell ref="N136:N140"/>
    <mergeCell ref="O136:O140"/>
    <mergeCell ref="P136:P140"/>
    <mergeCell ref="Q136:Q140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G128:G130"/>
    <mergeCell ref="H128:H130"/>
    <mergeCell ref="I128:I130"/>
    <mergeCell ref="J128:J130"/>
    <mergeCell ref="K128:K132"/>
    <mergeCell ref="L128:L132"/>
    <mergeCell ref="A128:A132"/>
    <mergeCell ref="B128:B132"/>
    <mergeCell ref="C128:C132"/>
    <mergeCell ref="D128:D130"/>
    <mergeCell ref="E128:E130"/>
    <mergeCell ref="F128:F130"/>
    <mergeCell ref="L125:L126"/>
    <mergeCell ref="M125:M126"/>
    <mergeCell ref="N125:N126"/>
    <mergeCell ref="O125:O126"/>
    <mergeCell ref="P125:P126"/>
    <mergeCell ref="Q125:Q126"/>
    <mergeCell ref="F125:F126"/>
    <mergeCell ref="G125:G126"/>
    <mergeCell ref="H125:H126"/>
    <mergeCell ref="I125:I126"/>
    <mergeCell ref="J125:J126"/>
    <mergeCell ref="K125:K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G123:G124"/>
    <mergeCell ref="H123:H124"/>
    <mergeCell ref="I123:I124"/>
    <mergeCell ref="J123:J124"/>
    <mergeCell ref="K123:K124"/>
    <mergeCell ref="L123:L124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A121:A122"/>
    <mergeCell ref="B121:B122"/>
    <mergeCell ref="C121:C122"/>
    <mergeCell ref="K121:K122"/>
    <mergeCell ref="L121:L122"/>
    <mergeCell ref="M121:M122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J112:J115"/>
    <mergeCell ref="K112:K117"/>
    <mergeCell ref="L112:L117"/>
    <mergeCell ref="M112:M117"/>
    <mergeCell ref="N112:N117"/>
    <mergeCell ref="O112:O117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A101:A103"/>
    <mergeCell ref="B101:B103"/>
    <mergeCell ref="C101:C103"/>
    <mergeCell ref="K101:K103"/>
    <mergeCell ref="L101:L103"/>
    <mergeCell ref="M101:M103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96:A100"/>
    <mergeCell ref="B96:B100"/>
    <mergeCell ref="C96:C100"/>
    <mergeCell ref="K96:K100"/>
    <mergeCell ref="L96:L100"/>
    <mergeCell ref="M96:M100"/>
    <mergeCell ref="J97:J100"/>
    <mergeCell ref="L93:L95"/>
    <mergeCell ref="M93:M95"/>
    <mergeCell ref="N93:N95"/>
    <mergeCell ref="O93:O95"/>
    <mergeCell ref="P93:P95"/>
    <mergeCell ref="Q93:Q95"/>
    <mergeCell ref="F93:F94"/>
    <mergeCell ref="G93:G94"/>
    <mergeCell ref="H93:H94"/>
    <mergeCell ref="I93:I94"/>
    <mergeCell ref="J93:J94"/>
    <mergeCell ref="K93:K95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G85:G88"/>
    <mergeCell ref="H85:H88"/>
    <mergeCell ref="I85:I88"/>
    <mergeCell ref="J85:J88"/>
    <mergeCell ref="K85:K90"/>
    <mergeCell ref="L85:L90"/>
    <mergeCell ref="A85:A90"/>
    <mergeCell ref="B85:B90"/>
    <mergeCell ref="C85:C90"/>
    <mergeCell ref="D85:D88"/>
    <mergeCell ref="E85:E88"/>
    <mergeCell ref="F85:F88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K80:K83"/>
    <mergeCell ref="L80:L83"/>
    <mergeCell ref="A80:A83"/>
    <mergeCell ref="B80:B83"/>
    <mergeCell ref="C80:C83"/>
    <mergeCell ref="D80:D81"/>
    <mergeCell ref="E80:E81"/>
    <mergeCell ref="F80:F81"/>
    <mergeCell ref="L77:L79"/>
    <mergeCell ref="M77:M79"/>
    <mergeCell ref="N77:N79"/>
    <mergeCell ref="O77:O79"/>
    <mergeCell ref="P77:P79"/>
    <mergeCell ref="Q77:Q79"/>
    <mergeCell ref="I75:I76"/>
    <mergeCell ref="J75:J76"/>
    <mergeCell ref="A77:A79"/>
    <mergeCell ref="B77:B79"/>
    <mergeCell ref="C77:C79"/>
    <mergeCell ref="K77:K79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G68:G71"/>
    <mergeCell ref="H68:H71"/>
    <mergeCell ref="I68:I71"/>
    <mergeCell ref="J68:J71"/>
    <mergeCell ref="K68:K73"/>
    <mergeCell ref="L68:L73"/>
    <mergeCell ref="A68:A73"/>
    <mergeCell ref="B68:B73"/>
    <mergeCell ref="C68:C73"/>
    <mergeCell ref="D68:D71"/>
    <mergeCell ref="E68:E71"/>
    <mergeCell ref="F68:F71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O63:O64"/>
    <mergeCell ref="P63:P64"/>
    <mergeCell ref="H61:H62"/>
    <mergeCell ref="I61:I62"/>
    <mergeCell ref="J61:J62"/>
    <mergeCell ref="O60:O62"/>
    <mergeCell ref="P60:P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G52:G54"/>
    <mergeCell ref="H52:H54"/>
    <mergeCell ref="I52:I54"/>
    <mergeCell ref="J52:J54"/>
    <mergeCell ref="K52:K56"/>
    <mergeCell ref="L52:L56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A43:A45"/>
    <mergeCell ref="B43:B45"/>
    <mergeCell ref="C43:C45"/>
    <mergeCell ref="K43:K45"/>
    <mergeCell ref="A46:A48"/>
    <mergeCell ref="B46:B48"/>
    <mergeCell ref="C46:C48"/>
    <mergeCell ref="K46:K48"/>
    <mergeCell ref="L41:L42"/>
    <mergeCell ref="M41:M42"/>
    <mergeCell ref="N41:N42"/>
    <mergeCell ref="O41:O42"/>
    <mergeCell ref="P41:P42"/>
    <mergeCell ref="Q41:Q42"/>
    <mergeCell ref="E41:E42"/>
    <mergeCell ref="F41:F42"/>
    <mergeCell ref="G41:G42"/>
    <mergeCell ref="H41:H42"/>
    <mergeCell ref="I41:I42"/>
    <mergeCell ref="J41:J42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J39:J40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H33:H34"/>
    <mergeCell ref="I33:I34"/>
    <mergeCell ref="J33:J34"/>
    <mergeCell ref="K33:K36"/>
    <mergeCell ref="L33:L36"/>
    <mergeCell ref="M33:M36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K23:K26"/>
    <mergeCell ref="L23:L26"/>
    <mergeCell ref="G21:G22"/>
    <mergeCell ref="H21:H22"/>
    <mergeCell ref="I21:I22"/>
    <mergeCell ref="J21:J22"/>
    <mergeCell ref="A23:A26"/>
    <mergeCell ref="B23:B26"/>
    <mergeCell ref="C23:C26"/>
    <mergeCell ref="D23:D24"/>
    <mergeCell ref="E23:E24"/>
    <mergeCell ref="F23:F24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K13:K16"/>
    <mergeCell ref="L13:L16"/>
    <mergeCell ref="A13:A16"/>
    <mergeCell ref="B13:B16"/>
    <mergeCell ref="C13:C16"/>
    <mergeCell ref="D13:D14"/>
    <mergeCell ref="E13:E14"/>
    <mergeCell ref="F13:F14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zoomScaleSheetLayoutView="100" workbookViewId="0" topLeftCell="A1">
      <pane ySplit="8" topLeftCell="A41" activePane="bottomLeft" state="frozen"/>
      <selection pane="topLeft" activeCell="A1" sqref="A1"/>
      <selection pane="bottomLeft" activeCell="I48" sqref="I48"/>
    </sheetView>
  </sheetViews>
  <sheetFormatPr defaultColWidth="19.57421875" defaultRowHeight="18.75" customHeight="1"/>
  <cols>
    <col min="1" max="1" width="4.8515625" style="485" customWidth="1"/>
    <col min="2" max="2" width="27.57421875" style="486" customWidth="1"/>
    <col min="3" max="3" width="6.8515625" style="486" customWidth="1"/>
    <col min="4" max="4" width="8.00390625" style="486" customWidth="1"/>
    <col min="5" max="5" width="8.421875" style="487" customWidth="1"/>
    <col min="6" max="11" width="7.421875" style="487" customWidth="1"/>
    <col min="12" max="12" width="36.57421875" style="488" customWidth="1"/>
    <col min="13" max="18" width="5.00390625" style="487" customWidth="1"/>
    <col min="19" max="19" width="21.421875" style="495" customWidth="1"/>
    <col min="20" max="16384" width="19.57421875" style="486" customWidth="1"/>
  </cols>
  <sheetData>
    <row r="1" spans="10:22" ht="24.75" customHeight="1">
      <c r="J1" s="486"/>
      <c r="K1" s="59"/>
      <c r="L1" s="840" t="s">
        <v>497</v>
      </c>
      <c r="M1" s="840"/>
      <c r="N1" s="840"/>
      <c r="O1" s="840"/>
      <c r="P1" s="840"/>
      <c r="Q1" s="840"/>
      <c r="R1" s="840"/>
      <c r="S1" s="840"/>
      <c r="T1" s="59"/>
      <c r="U1" s="59"/>
      <c r="V1" s="59"/>
    </row>
    <row r="2" spans="9:19" ht="11.25" customHeight="1">
      <c r="I2" s="59"/>
      <c r="J2" s="59"/>
      <c r="K2" s="59"/>
      <c r="L2" s="846" t="s">
        <v>471</v>
      </c>
      <c r="M2" s="846"/>
      <c r="N2" s="846"/>
      <c r="O2" s="846"/>
      <c r="P2" s="846"/>
      <c r="Q2" s="846"/>
      <c r="R2" s="846"/>
      <c r="S2" s="846"/>
    </row>
    <row r="3" spans="8:19" ht="9.75" customHeight="1">
      <c r="H3" s="595"/>
      <c r="I3" s="850" t="s">
        <v>486</v>
      </c>
      <c r="J3" s="850"/>
      <c r="K3" s="850"/>
      <c r="L3" s="850"/>
      <c r="M3" s="850"/>
      <c r="N3" s="850"/>
      <c r="O3" s="850"/>
      <c r="P3" s="850"/>
      <c r="Q3" s="850"/>
      <c r="R3" s="850"/>
      <c r="S3" s="850"/>
    </row>
    <row r="4" spans="1:19" ht="29.25" customHeight="1">
      <c r="A4" s="841" t="s">
        <v>429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</row>
    <row r="5" ht="9" customHeight="1">
      <c r="S5" s="478"/>
    </row>
    <row r="6" spans="1:20" ht="21.75" customHeight="1">
      <c r="A6" s="842" t="s">
        <v>16</v>
      </c>
      <c r="B6" s="843" t="s">
        <v>15</v>
      </c>
      <c r="C6" s="842" t="s">
        <v>8</v>
      </c>
      <c r="D6" s="842" t="s">
        <v>9</v>
      </c>
      <c r="E6" s="847" t="s">
        <v>405</v>
      </c>
      <c r="F6" s="848"/>
      <c r="G6" s="848"/>
      <c r="H6" s="848"/>
      <c r="I6" s="848"/>
      <c r="J6" s="849"/>
      <c r="K6" s="590"/>
      <c r="L6" s="847" t="s">
        <v>17</v>
      </c>
      <c r="M6" s="848"/>
      <c r="N6" s="848"/>
      <c r="O6" s="848"/>
      <c r="P6" s="848"/>
      <c r="Q6" s="848"/>
      <c r="R6" s="849"/>
      <c r="S6" s="1093" t="s">
        <v>469</v>
      </c>
      <c r="T6" s="1079" t="s">
        <v>474</v>
      </c>
    </row>
    <row r="7" spans="1:20" ht="21.75" customHeight="1">
      <c r="A7" s="842"/>
      <c r="B7" s="844"/>
      <c r="C7" s="842"/>
      <c r="D7" s="842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467</v>
      </c>
      <c r="K7" s="75" t="s">
        <v>468</v>
      </c>
      <c r="L7" s="75" t="s">
        <v>431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1094"/>
      <c r="T7" s="1080"/>
    </row>
    <row r="8" spans="1:19" ht="11.25" customHeight="1">
      <c r="A8" s="600">
        <v>1</v>
      </c>
      <c r="B8" s="600">
        <v>2</v>
      </c>
      <c r="C8" s="600">
        <v>3</v>
      </c>
      <c r="D8" s="600">
        <v>4</v>
      </c>
      <c r="E8" s="600">
        <v>5</v>
      </c>
      <c r="F8" s="600">
        <v>6</v>
      </c>
      <c r="G8" s="600">
        <v>7</v>
      </c>
      <c r="H8" s="600">
        <v>8</v>
      </c>
      <c r="I8" s="600">
        <v>9</v>
      </c>
      <c r="J8" s="600">
        <v>10</v>
      </c>
      <c r="K8" s="600">
        <v>11</v>
      </c>
      <c r="L8" s="600">
        <v>12</v>
      </c>
      <c r="M8" s="600">
        <v>13</v>
      </c>
      <c r="N8" s="600">
        <v>14</v>
      </c>
      <c r="O8" s="600">
        <v>15</v>
      </c>
      <c r="P8" s="600">
        <v>16</v>
      </c>
      <c r="Q8" s="600">
        <v>17</v>
      </c>
      <c r="R8" s="600">
        <v>18</v>
      </c>
      <c r="S8" s="600">
        <v>19</v>
      </c>
    </row>
    <row r="9" spans="1:19" ht="15" customHeight="1">
      <c r="A9" s="596"/>
      <c r="B9" s="853" t="s">
        <v>459</v>
      </c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</row>
    <row r="10" spans="1:19" ht="10.5" customHeight="1">
      <c r="A10" s="21" t="s">
        <v>72</v>
      </c>
      <c r="B10" s="1095" t="s">
        <v>451</v>
      </c>
      <c r="C10" s="1096"/>
      <c r="D10" s="1096"/>
      <c r="E10" s="1097"/>
      <c r="F10" s="1097"/>
      <c r="G10" s="1097"/>
      <c r="H10" s="1097"/>
      <c r="I10" s="1097"/>
      <c r="J10" s="1097"/>
      <c r="K10" s="1097"/>
      <c r="L10" s="1096"/>
      <c r="M10" s="1096"/>
      <c r="N10" s="1096"/>
      <c r="O10" s="1096"/>
      <c r="P10" s="1096"/>
      <c r="Q10" s="1096"/>
      <c r="R10" s="1096"/>
      <c r="S10" s="1098"/>
    </row>
    <row r="11" spans="1:20" ht="21.75" customHeight="1">
      <c r="A11" s="1072" t="s">
        <v>10</v>
      </c>
      <c r="B11" s="1081" t="s">
        <v>432</v>
      </c>
      <c r="C11" s="951" t="s">
        <v>472</v>
      </c>
      <c r="D11" s="604" t="s">
        <v>461</v>
      </c>
      <c r="E11" s="439">
        <f>SUM(F11:K11)</f>
        <v>612</v>
      </c>
      <c r="F11" s="553">
        <f aca="true" t="shared" si="0" ref="F11:K11">F12</f>
        <v>120</v>
      </c>
      <c r="G11" s="439">
        <f t="shared" si="0"/>
        <v>320</v>
      </c>
      <c r="H11" s="553">
        <f t="shared" si="0"/>
        <v>65</v>
      </c>
      <c r="I11" s="439">
        <f t="shared" si="0"/>
        <v>107</v>
      </c>
      <c r="J11" s="553">
        <f t="shared" si="0"/>
        <v>0</v>
      </c>
      <c r="K11" s="439">
        <f t="shared" si="0"/>
        <v>0</v>
      </c>
      <c r="M11" s="612"/>
      <c r="N11" s="612"/>
      <c r="O11" s="612"/>
      <c r="P11" s="612"/>
      <c r="Q11" s="612"/>
      <c r="R11" s="612"/>
      <c r="S11" s="555"/>
      <c r="T11" s="645" t="s">
        <v>476</v>
      </c>
    </row>
    <row r="12" spans="1:19" ht="12.75" customHeight="1">
      <c r="A12" s="1101"/>
      <c r="B12" s="1083"/>
      <c r="C12" s="1086"/>
      <c r="D12" s="606" t="s">
        <v>5</v>
      </c>
      <c r="E12" s="622">
        <f aca="true" t="shared" si="1" ref="E12:J12">E15+E18</f>
        <v>612</v>
      </c>
      <c r="F12" s="622">
        <f t="shared" si="1"/>
        <v>120</v>
      </c>
      <c r="G12" s="622">
        <f t="shared" si="1"/>
        <v>320</v>
      </c>
      <c r="H12" s="622">
        <f t="shared" si="1"/>
        <v>65</v>
      </c>
      <c r="I12" s="622">
        <f t="shared" si="1"/>
        <v>107</v>
      </c>
      <c r="J12" s="622">
        <f t="shared" si="1"/>
        <v>0</v>
      </c>
      <c r="K12" s="622">
        <f>K15+K18</f>
        <v>0</v>
      </c>
      <c r="L12" s="607"/>
      <c r="M12" s="628"/>
      <c r="N12" s="628"/>
      <c r="O12" s="628"/>
      <c r="P12" s="479"/>
      <c r="Q12" s="489"/>
      <c r="R12" s="628"/>
      <c r="S12" s="607"/>
    </row>
    <row r="13" spans="1:19" ht="12.75" customHeight="1">
      <c r="A13" s="1101"/>
      <c r="B13" s="1083"/>
      <c r="C13" s="1086"/>
      <c r="D13" s="606" t="s">
        <v>6</v>
      </c>
      <c r="E13" s="622">
        <f aca="true" t="shared" si="2" ref="E13:J13">E16+E19</f>
        <v>0</v>
      </c>
      <c r="F13" s="622">
        <f t="shared" si="2"/>
        <v>0</v>
      </c>
      <c r="G13" s="622">
        <f t="shared" si="2"/>
        <v>0</v>
      </c>
      <c r="H13" s="622">
        <f t="shared" si="2"/>
        <v>0</v>
      </c>
      <c r="I13" s="622">
        <f t="shared" si="2"/>
        <v>0</v>
      </c>
      <c r="J13" s="622">
        <f t="shared" si="2"/>
        <v>0</v>
      </c>
      <c r="K13" s="622">
        <f>K16+K19</f>
        <v>0</v>
      </c>
      <c r="L13" s="607"/>
      <c r="M13" s="628"/>
      <c r="N13" s="628"/>
      <c r="O13" s="628"/>
      <c r="P13" s="479"/>
      <c r="Q13" s="489"/>
      <c r="R13" s="628"/>
      <c r="S13" s="608"/>
    </row>
    <row r="14" spans="1:19" ht="21.75" customHeight="1">
      <c r="A14" s="616"/>
      <c r="B14" s="1083"/>
      <c r="C14" s="607"/>
      <c r="D14" s="604" t="s">
        <v>461</v>
      </c>
      <c r="E14" s="439">
        <f aca="true" t="shared" si="3" ref="E14:K14">E15+E16</f>
        <v>370</v>
      </c>
      <c r="F14" s="439">
        <f t="shared" si="3"/>
        <v>120</v>
      </c>
      <c r="G14" s="439">
        <f t="shared" si="3"/>
        <v>120</v>
      </c>
      <c r="H14" s="579">
        <f t="shared" si="3"/>
        <v>65</v>
      </c>
      <c r="I14" s="439">
        <f t="shared" si="3"/>
        <v>65</v>
      </c>
      <c r="J14" s="439">
        <f t="shared" si="3"/>
        <v>0</v>
      </c>
      <c r="K14" s="444">
        <f t="shared" si="3"/>
        <v>0</v>
      </c>
      <c r="L14" s="1120" t="s">
        <v>511</v>
      </c>
      <c r="M14" s="1076">
        <v>21</v>
      </c>
      <c r="N14" s="1076">
        <v>18</v>
      </c>
      <c r="O14" s="1076">
        <v>18</v>
      </c>
      <c r="P14" s="1076">
        <v>19</v>
      </c>
      <c r="Q14" s="1076">
        <v>20</v>
      </c>
      <c r="R14" s="1076">
        <v>21</v>
      </c>
      <c r="S14" s="1072" t="s">
        <v>437</v>
      </c>
    </row>
    <row r="15" spans="1:19" ht="12" customHeight="1">
      <c r="A15" s="616"/>
      <c r="B15" s="1083"/>
      <c r="C15" s="607"/>
      <c r="D15" s="606" t="s">
        <v>5</v>
      </c>
      <c r="E15" s="622">
        <f>SUM(F15:K15)</f>
        <v>370</v>
      </c>
      <c r="F15" s="552">
        <v>120</v>
      </c>
      <c r="G15" s="622">
        <v>120</v>
      </c>
      <c r="H15" s="552">
        <f>120-24-9-22</f>
        <v>65</v>
      </c>
      <c r="I15" s="622">
        <v>65</v>
      </c>
      <c r="J15" s="622">
        <v>0</v>
      </c>
      <c r="K15" s="552">
        <v>0</v>
      </c>
      <c r="L15" s="1083"/>
      <c r="M15" s="1077"/>
      <c r="N15" s="1077"/>
      <c r="O15" s="1077"/>
      <c r="P15" s="1077"/>
      <c r="Q15" s="1077"/>
      <c r="R15" s="1077"/>
      <c r="S15" s="1073"/>
    </row>
    <row r="16" spans="1:19" ht="12" customHeight="1">
      <c r="A16" s="616"/>
      <c r="B16" s="1083"/>
      <c r="C16" s="607"/>
      <c r="D16" s="615" t="s">
        <v>6</v>
      </c>
      <c r="E16" s="440">
        <f>SUM(F16:K16)</f>
        <v>0</v>
      </c>
      <c r="F16" s="554">
        <v>0</v>
      </c>
      <c r="G16" s="440">
        <v>0</v>
      </c>
      <c r="H16" s="554">
        <v>0</v>
      </c>
      <c r="I16" s="440">
        <v>0</v>
      </c>
      <c r="J16" s="440">
        <v>0</v>
      </c>
      <c r="K16" s="443">
        <v>0</v>
      </c>
      <c r="L16" s="1083"/>
      <c r="M16" s="1078"/>
      <c r="N16" s="1078"/>
      <c r="O16" s="1078"/>
      <c r="P16" s="1078"/>
      <c r="Q16" s="1078"/>
      <c r="R16" s="1078"/>
      <c r="S16" s="1074"/>
    </row>
    <row r="17" spans="1:19" ht="12" customHeight="1">
      <c r="A17" s="616"/>
      <c r="B17" s="1083"/>
      <c r="C17" s="607"/>
      <c r="D17" s="604" t="s">
        <v>461</v>
      </c>
      <c r="E17" s="439">
        <f aca="true" t="shared" si="4" ref="E17:K17">E18+E19</f>
        <v>242</v>
      </c>
      <c r="F17" s="439">
        <f t="shared" si="4"/>
        <v>0</v>
      </c>
      <c r="G17" s="439">
        <f t="shared" si="4"/>
        <v>200</v>
      </c>
      <c r="H17" s="439">
        <f t="shared" si="4"/>
        <v>0</v>
      </c>
      <c r="I17" s="439">
        <f t="shared" si="4"/>
        <v>42</v>
      </c>
      <c r="J17" s="439">
        <f t="shared" si="4"/>
        <v>0</v>
      </c>
      <c r="K17" s="439">
        <f t="shared" si="4"/>
        <v>0</v>
      </c>
      <c r="L17" s="1083"/>
      <c r="M17" s="1076">
        <v>0</v>
      </c>
      <c r="N17" s="1076">
        <v>1</v>
      </c>
      <c r="O17" s="1076">
        <v>0</v>
      </c>
      <c r="P17" s="1076">
        <v>1</v>
      </c>
      <c r="Q17" s="1076">
        <v>0</v>
      </c>
      <c r="R17" s="1076">
        <v>0</v>
      </c>
      <c r="S17" s="951" t="s">
        <v>51</v>
      </c>
    </row>
    <row r="18" spans="1:20" ht="12" customHeight="1">
      <c r="A18" s="616"/>
      <c r="B18" s="1083"/>
      <c r="C18" s="607"/>
      <c r="D18" s="606" t="s">
        <v>5</v>
      </c>
      <c r="E18" s="622">
        <f>SUM(F18:K18)</f>
        <v>242</v>
      </c>
      <c r="F18" s="552">
        <v>0</v>
      </c>
      <c r="G18" s="622">
        <v>200</v>
      </c>
      <c r="H18" s="552">
        <v>0</v>
      </c>
      <c r="I18" s="622">
        <v>42</v>
      </c>
      <c r="J18" s="552">
        <v>0</v>
      </c>
      <c r="K18" s="622">
        <v>0</v>
      </c>
      <c r="L18" s="1083"/>
      <c r="M18" s="1077"/>
      <c r="N18" s="1077"/>
      <c r="O18" s="1077"/>
      <c r="P18" s="1077"/>
      <c r="Q18" s="1077"/>
      <c r="R18" s="1077"/>
      <c r="S18" s="982"/>
      <c r="T18" s="644" t="s">
        <v>477</v>
      </c>
    </row>
    <row r="19" spans="1:19" ht="12" customHeight="1">
      <c r="A19" s="616"/>
      <c r="B19" s="1084"/>
      <c r="C19" s="607"/>
      <c r="D19" s="615" t="s">
        <v>6</v>
      </c>
      <c r="E19" s="440">
        <f>SUM(F19:K19)</f>
        <v>0</v>
      </c>
      <c r="F19" s="554">
        <v>0</v>
      </c>
      <c r="G19" s="440">
        <v>0</v>
      </c>
      <c r="H19" s="554">
        <v>0</v>
      </c>
      <c r="I19" s="440">
        <v>0</v>
      </c>
      <c r="J19" s="554">
        <v>0</v>
      </c>
      <c r="K19" s="440">
        <v>0</v>
      </c>
      <c r="L19" s="1084"/>
      <c r="M19" s="1078"/>
      <c r="N19" s="1078"/>
      <c r="O19" s="1078"/>
      <c r="P19" s="1078"/>
      <c r="Q19" s="1078"/>
      <c r="R19" s="1078"/>
      <c r="S19" s="1075"/>
    </row>
    <row r="20" spans="1:19" ht="13.5" customHeight="1">
      <c r="A20" s="21" t="s">
        <v>24</v>
      </c>
      <c r="B20" s="1090" t="s">
        <v>449</v>
      </c>
      <c r="C20" s="1090"/>
      <c r="D20" s="1100"/>
      <c r="E20" s="1100"/>
      <c r="F20" s="1100"/>
      <c r="G20" s="1100"/>
      <c r="H20" s="1100"/>
      <c r="I20" s="1100"/>
      <c r="J20" s="1100"/>
      <c r="K20" s="1100"/>
      <c r="L20" s="1090"/>
      <c r="M20" s="1090"/>
      <c r="N20" s="1090"/>
      <c r="O20" s="1090"/>
      <c r="P20" s="1090"/>
      <c r="Q20" s="1090"/>
      <c r="R20" s="1090"/>
      <c r="S20" s="1090"/>
    </row>
    <row r="21" spans="1:20" ht="13.5" customHeight="1">
      <c r="A21" s="1072" t="s">
        <v>26</v>
      </c>
      <c r="B21" s="1081" t="s">
        <v>433</v>
      </c>
      <c r="C21" s="1103" t="s">
        <v>472</v>
      </c>
      <c r="D21" s="604" t="s">
        <v>461</v>
      </c>
      <c r="E21" s="439">
        <f>SUM(F21:K21)</f>
        <v>796.4200000000001</v>
      </c>
      <c r="F21" s="439">
        <f aca="true" t="shared" si="5" ref="F21:K21">F26</f>
        <v>0</v>
      </c>
      <c r="G21" s="439">
        <f t="shared" si="5"/>
        <v>169.19</v>
      </c>
      <c r="H21" s="439">
        <f>H26</f>
        <v>149.10000000000002</v>
      </c>
      <c r="I21" s="439">
        <f>I26</f>
        <v>195.33</v>
      </c>
      <c r="J21" s="439">
        <f t="shared" si="5"/>
        <v>128</v>
      </c>
      <c r="K21" s="439">
        <f t="shared" si="5"/>
        <v>154.8</v>
      </c>
      <c r="L21" s="972" t="s">
        <v>510</v>
      </c>
      <c r="M21" s="612">
        <v>0</v>
      </c>
      <c r="N21" s="612">
        <v>43</v>
      </c>
      <c r="O21" s="612">
        <v>45</v>
      </c>
      <c r="P21" s="582">
        <v>45.5</v>
      </c>
      <c r="Q21" s="582">
        <v>45.7</v>
      </c>
      <c r="R21" s="582">
        <v>46</v>
      </c>
      <c r="S21" s="1072" t="s">
        <v>443</v>
      </c>
      <c r="T21" s="645" t="s">
        <v>478</v>
      </c>
    </row>
    <row r="22" spans="1:19" ht="6" customHeight="1" hidden="1">
      <c r="A22" s="1101"/>
      <c r="B22" s="1083"/>
      <c r="C22" s="1104"/>
      <c r="D22" s="1099" t="s">
        <v>217</v>
      </c>
      <c r="E22" s="966">
        <f>SUM(F22:I23)</f>
        <v>0</v>
      </c>
      <c r="F22" s="605"/>
      <c r="G22" s="605"/>
      <c r="H22" s="605"/>
      <c r="I22" s="1108"/>
      <c r="J22" s="1108"/>
      <c r="K22" s="1108"/>
      <c r="L22" s="1106"/>
      <c r="M22" s="606"/>
      <c r="N22" s="606"/>
      <c r="O22" s="606"/>
      <c r="P22" s="607"/>
      <c r="Q22" s="489"/>
      <c r="R22" s="606"/>
      <c r="S22" s="1086"/>
    </row>
    <row r="23" spans="1:19" ht="6.75" customHeight="1" hidden="1">
      <c r="A23" s="1101"/>
      <c r="B23" s="1083"/>
      <c r="C23" s="1104"/>
      <c r="D23" s="1099"/>
      <c r="E23" s="966"/>
      <c r="F23" s="605"/>
      <c r="G23" s="605"/>
      <c r="H23" s="605"/>
      <c r="I23" s="1108"/>
      <c r="J23" s="1108"/>
      <c r="K23" s="1108"/>
      <c r="L23" s="1106"/>
      <c r="M23" s="606"/>
      <c r="N23" s="606"/>
      <c r="O23" s="606"/>
      <c r="P23" s="607"/>
      <c r="Q23" s="489"/>
      <c r="R23" s="606"/>
      <c r="S23" s="1086"/>
    </row>
    <row r="24" spans="1:19" ht="15" customHeight="1" hidden="1">
      <c r="A24" s="1101"/>
      <c r="B24" s="1083"/>
      <c r="C24" s="1104"/>
      <c r="D24" s="1099"/>
      <c r="E24" s="605">
        <f>SUM(F24:I24)</f>
        <v>0</v>
      </c>
      <c r="F24" s="605"/>
      <c r="G24" s="605"/>
      <c r="H24" s="605"/>
      <c r="I24" s="619"/>
      <c r="J24" s="619"/>
      <c r="K24" s="619"/>
      <c r="L24" s="1106"/>
      <c r="M24" s="606"/>
      <c r="N24" s="606"/>
      <c r="O24" s="606"/>
      <c r="P24" s="607"/>
      <c r="Q24" s="489"/>
      <c r="R24" s="606"/>
      <c r="S24" s="1086"/>
    </row>
    <row r="25" spans="1:19" ht="22.5" customHeight="1" hidden="1">
      <c r="A25" s="1101"/>
      <c r="B25" s="1083"/>
      <c r="C25" s="1104"/>
      <c r="D25" s="1099"/>
      <c r="E25" s="605">
        <f>SUM(F25:I25)</f>
        <v>0</v>
      </c>
      <c r="F25" s="605"/>
      <c r="G25" s="605"/>
      <c r="H25" s="605"/>
      <c r="I25" s="619"/>
      <c r="J25" s="619"/>
      <c r="K25" s="619"/>
      <c r="L25" s="1106"/>
      <c r="M25" s="606"/>
      <c r="N25" s="606"/>
      <c r="O25" s="606"/>
      <c r="P25" s="607"/>
      <c r="Q25" s="489"/>
      <c r="R25" s="606"/>
      <c r="S25" s="1086"/>
    </row>
    <row r="26" spans="1:20" ht="12.75" customHeight="1">
      <c r="A26" s="1101"/>
      <c r="B26" s="1083"/>
      <c r="C26" s="1104"/>
      <c r="D26" s="610" t="s">
        <v>5</v>
      </c>
      <c r="E26" s="622">
        <f>SUM(F26:K26)</f>
        <v>796.4200000000001</v>
      </c>
      <c r="F26" s="622">
        <v>0</v>
      </c>
      <c r="G26" s="622">
        <f>200-30.81</f>
        <v>169.19</v>
      </c>
      <c r="H26" s="622">
        <f>200-35.2-15.7</f>
        <v>149.10000000000002</v>
      </c>
      <c r="I26" s="622">
        <f>128+53+14.33</f>
        <v>195.33</v>
      </c>
      <c r="J26" s="622">
        <v>128</v>
      </c>
      <c r="K26" s="622">
        <v>154.8</v>
      </c>
      <c r="L26" s="1106"/>
      <c r="M26" s="606"/>
      <c r="N26" s="606"/>
      <c r="O26" s="606"/>
      <c r="P26" s="607"/>
      <c r="Q26" s="489"/>
      <c r="R26" s="606"/>
      <c r="S26" s="1086"/>
      <c r="T26" s="644" t="s">
        <v>479</v>
      </c>
    </row>
    <row r="27" spans="1:20" ht="12.75" customHeight="1">
      <c r="A27" s="1102"/>
      <c r="B27" s="1084"/>
      <c r="C27" s="1105"/>
      <c r="D27" s="620" t="s">
        <v>6</v>
      </c>
      <c r="E27" s="440">
        <v>0</v>
      </c>
      <c r="F27" s="443">
        <v>0</v>
      </c>
      <c r="G27" s="443">
        <v>0</v>
      </c>
      <c r="H27" s="443">
        <v>0</v>
      </c>
      <c r="I27" s="443">
        <v>0</v>
      </c>
      <c r="J27" s="443">
        <v>0</v>
      </c>
      <c r="K27" s="443">
        <v>0</v>
      </c>
      <c r="L27" s="1107"/>
      <c r="M27" s="615"/>
      <c r="N27" s="615"/>
      <c r="O27" s="615"/>
      <c r="P27" s="608"/>
      <c r="Q27" s="489"/>
      <c r="R27" s="615"/>
      <c r="S27" s="1087"/>
      <c r="T27" s="644" t="s">
        <v>480</v>
      </c>
    </row>
    <row r="28" spans="1:19" ht="12.75" customHeight="1">
      <c r="A28" s="21" t="s">
        <v>28</v>
      </c>
      <c r="B28" s="1090" t="s">
        <v>452</v>
      </c>
      <c r="C28" s="1090"/>
      <c r="D28" s="1091"/>
      <c r="E28" s="1092"/>
      <c r="F28" s="1092"/>
      <c r="G28" s="1092"/>
      <c r="H28" s="1092"/>
      <c r="I28" s="1092"/>
      <c r="J28" s="1092"/>
      <c r="K28" s="1092"/>
      <c r="L28" s="1090"/>
      <c r="M28" s="1090"/>
      <c r="N28" s="1090"/>
      <c r="O28" s="1090"/>
      <c r="P28" s="1090"/>
      <c r="Q28" s="1090"/>
      <c r="R28" s="1090"/>
      <c r="S28" s="1090"/>
    </row>
    <row r="29" spans="1:20" ht="13.5" customHeight="1">
      <c r="A29" s="1072" t="s">
        <v>30</v>
      </c>
      <c r="B29" s="1081" t="s">
        <v>434</v>
      </c>
      <c r="C29" s="951" t="s">
        <v>472</v>
      </c>
      <c r="D29" s="604" t="s">
        <v>461</v>
      </c>
      <c r="E29" s="439">
        <f>SUM(F29:K29)</f>
        <v>188</v>
      </c>
      <c r="F29" s="439">
        <f aca="true" t="shared" si="6" ref="F29:K29">F30+F31</f>
        <v>67</v>
      </c>
      <c r="G29" s="439">
        <f t="shared" si="6"/>
        <v>67</v>
      </c>
      <c r="H29" s="439">
        <f t="shared" si="6"/>
        <v>27</v>
      </c>
      <c r="I29" s="439">
        <f t="shared" si="6"/>
        <v>27</v>
      </c>
      <c r="J29" s="439">
        <f t="shared" si="6"/>
        <v>0</v>
      </c>
      <c r="K29" s="439">
        <f t="shared" si="6"/>
        <v>0</v>
      </c>
      <c r="L29" s="1109" t="s">
        <v>512</v>
      </c>
      <c r="M29" s="1089">
        <v>1</v>
      </c>
      <c r="N29" s="1089">
        <v>1</v>
      </c>
      <c r="O29" s="1089">
        <v>1</v>
      </c>
      <c r="P29" s="1089">
        <v>1</v>
      </c>
      <c r="Q29" s="1089">
        <v>1</v>
      </c>
      <c r="R29" s="1089">
        <v>1</v>
      </c>
      <c r="S29" s="1072" t="s">
        <v>437</v>
      </c>
      <c r="T29" s="645" t="s">
        <v>481</v>
      </c>
    </row>
    <row r="30" spans="1:20" ht="44.25" customHeight="1">
      <c r="A30" s="1073"/>
      <c r="B30" s="1082"/>
      <c r="C30" s="982"/>
      <c r="D30" s="445" t="s">
        <v>5</v>
      </c>
      <c r="E30" s="622">
        <f>SUM(F30:K30)</f>
        <v>188</v>
      </c>
      <c r="F30" s="622">
        <v>67</v>
      </c>
      <c r="G30" s="622">
        <v>67</v>
      </c>
      <c r="H30" s="622">
        <f>67-10-13-17</f>
        <v>27</v>
      </c>
      <c r="I30" s="621">
        <v>27</v>
      </c>
      <c r="J30" s="621">
        <v>0</v>
      </c>
      <c r="K30" s="621">
        <v>0</v>
      </c>
      <c r="L30" s="1110"/>
      <c r="M30" s="946"/>
      <c r="N30" s="946"/>
      <c r="O30" s="946"/>
      <c r="P30" s="946"/>
      <c r="Q30" s="946"/>
      <c r="R30" s="946"/>
      <c r="S30" s="1073"/>
      <c r="T30" s="644" t="s">
        <v>482</v>
      </c>
    </row>
    <row r="31" spans="1:19" ht="20.25" customHeight="1">
      <c r="A31" s="1073"/>
      <c r="B31" s="1082"/>
      <c r="C31" s="982"/>
      <c r="D31" s="610" t="s">
        <v>6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1109" t="s">
        <v>513</v>
      </c>
      <c r="M31" s="609">
        <v>2</v>
      </c>
      <c r="N31" s="609">
        <v>2</v>
      </c>
      <c r="O31" s="609">
        <v>2</v>
      </c>
      <c r="P31" s="609">
        <v>2</v>
      </c>
      <c r="Q31" s="609">
        <v>2</v>
      </c>
      <c r="R31" s="609">
        <v>2</v>
      </c>
      <c r="S31" s="1073"/>
    </row>
    <row r="32" spans="1:19" ht="13.5" customHeight="1">
      <c r="A32" s="1073"/>
      <c r="B32" s="1082"/>
      <c r="C32" s="982"/>
      <c r="D32" s="610"/>
      <c r="E32" s="605"/>
      <c r="F32" s="605"/>
      <c r="G32" s="605"/>
      <c r="H32" s="605"/>
      <c r="I32" s="605"/>
      <c r="J32" s="605"/>
      <c r="K32" s="619"/>
      <c r="L32" s="1121"/>
      <c r="M32" s="639"/>
      <c r="N32" s="639"/>
      <c r="O32" s="639"/>
      <c r="P32" s="491"/>
      <c r="Q32" s="491"/>
      <c r="R32" s="491"/>
      <c r="S32" s="1073"/>
    </row>
    <row r="33" spans="1:19" ht="24" customHeight="1">
      <c r="A33" s="1074"/>
      <c r="B33" s="1088"/>
      <c r="C33" s="1075"/>
      <c r="D33" s="620"/>
      <c r="E33" s="603"/>
      <c r="F33" s="603"/>
      <c r="G33" s="603"/>
      <c r="H33" s="603"/>
      <c r="I33" s="603"/>
      <c r="J33" s="603"/>
      <c r="K33" s="475"/>
      <c r="L33" s="1122"/>
      <c r="M33" s="602"/>
      <c r="N33" s="602"/>
      <c r="O33" s="602"/>
      <c r="P33" s="492"/>
      <c r="Q33" s="492"/>
      <c r="R33" s="492"/>
      <c r="S33" s="1074"/>
    </row>
    <row r="34" spans="1:19" ht="12.75" customHeight="1">
      <c r="A34" s="21" t="s">
        <v>34</v>
      </c>
      <c r="B34" s="1090" t="s">
        <v>439</v>
      </c>
      <c r="C34" s="1090"/>
      <c r="D34" s="1100"/>
      <c r="E34" s="1100"/>
      <c r="F34" s="1100"/>
      <c r="G34" s="1100"/>
      <c r="H34" s="1100"/>
      <c r="I34" s="1100"/>
      <c r="J34" s="1100"/>
      <c r="K34" s="1100"/>
      <c r="L34" s="1090"/>
      <c r="M34" s="1090"/>
      <c r="N34" s="1090"/>
      <c r="O34" s="1090"/>
      <c r="P34" s="1090"/>
      <c r="Q34" s="1090"/>
      <c r="R34" s="1090"/>
      <c r="S34" s="1090"/>
    </row>
    <row r="35" spans="1:20" ht="15.75" customHeight="1">
      <c r="A35" s="611" t="s">
        <v>36</v>
      </c>
      <c r="B35" s="1081" t="s">
        <v>435</v>
      </c>
      <c r="C35" s="951" t="s">
        <v>472</v>
      </c>
      <c r="D35" s="604" t="s">
        <v>461</v>
      </c>
      <c r="E35" s="439">
        <f aca="true" t="shared" si="7" ref="E35:K35">SUM(E36:E37)</f>
        <v>4172.76</v>
      </c>
      <c r="F35" s="439">
        <f t="shared" si="7"/>
        <v>853.44</v>
      </c>
      <c r="G35" s="439">
        <f t="shared" si="7"/>
        <v>794.96</v>
      </c>
      <c r="H35" s="439">
        <f t="shared" si="7"/>
        <v>858.45</v>
      </c>
      <c r="I35" s="439">
        <f>SUM(I36:I37)</f>
        <v>882.4300000000001</v>
      </c>
      <c r="J35" s="439">
        <f t="shared" si="7"/>
        <v>391.74</v>
      </c>
      <c r="K35" s="439">
        <f t="shared" si="7"/>
        <v>391.74</v>
      </c>
      <c r="L35" s="972" t="s">
        <v>518</v>
      </c>
      <c r="M35" s="625">
        <v>35</v>
      </c>
      <c r="N35" s="625">
        <v>44</v>
      </c>
      <c r="O35" s="625">
        <v>44</v>
      </c>
      <c r="P35" s="625">
        <v>45</v>
      </c>
      <c r="Q35" s="625">
        <v>46</v>
      </c>
      <c r="R35" s="625">
        <v>47</v>
      </c>
      <c r="S35" s="1072"/>
      <c r="T35" s="645" t="s">
        <v>483</v>
      </c>
    </row>
    <row r="36" spans="1:19" ht="13.5" customHeight="1">
      <c r="A36" s="493"/>
      <c r="B36" s="1082"/>
      <c r="C36" s="982"/>
      <c r="D36" s="606" t="s">
        <v>5</v>
      </c>
      <c r="E36" s="622">
        <f aca="true" t="shared" si="8" ref="E36:E42">SUM(F36:K36)</f>
        <v>2579.76</v>
      </c>
      <c r="F36" s="621">
        <f>F39+F41+F44+F47</f>
        <v>604.84</v>
      </c>
      <c r="G36" s="621">
        <f>G39+G41+G44+G47</f>
        <v>516.66</v>
      </c>
      <c r="H36" s="621">
        <f>H39+H41+H44+H47</f>
        <v>564.45</v>
      </c>
      <c r="I36" s="621">
        <f>I39+I41+I44+I47</f>
        <v>624.2900000000001</v>
      </c>
      <c r="J36" s="621">
        <f>K39+K41+K44+K47</f>
        <v>134.76</v>
      </c>
      <c r="K36" s="621">
        <f>K39+K41+K45+K48</f>
        <v>134.76</v>
      </c>
      <c r="L36" s="1106"/>
      <c r="M36" s="626"/>
      <c r="N36" s="626"/>
      <c r="O36" s="626"/>
      <c r="P36" s="626"/>
      <c r="Q36" s="490"/>
      <c r="R36" s="626"/>
      <c r="S36" s="1073"/>
    </row>
    <row r="37" spans="1:19" ht="14.25" customHeight="1">
      <c r="A37" s="425"/>
      <c r="B37" s="1088"/>
      <c r="C37" s="982"/>
      <c r="D37" s="606" t="s">
        <v>6</v>
      </c>
      <c r="E37" s="622">
        <f t="shared" si="8"/>
        <v>1593</v>
      </c>
      <c r="F37" s="621">
        <f aca="true" t="shared" si="9" ref="F37:K37">F40</f>
        <v>248.6</v>
      </c>
      <c r="G37" s="621">
        <f t="shared" si="9"/>
        <v>278.3</v>
      </c>
      <c r="H37" s="621">
        <f t="shared" si="9"/>
        <v>294</v>
      </c>
      <c r="I37" s="621">
        <f>I40+I43+I46+I49</f>
        <v>258.14</v>
      </c>
      <c r="J37" s="621">
        <f t="shared" si="9"/>
        <v>256.98</v>
      </c>
      <c r="K37" s="621">
        <f t="shared" si="9"/>
        <v>256.98</v>
      </c>
      <c r="L37" s="1107"/>
      <c r="M37" s="627"/>
      <c r="N37" s="627"/>
      <c r="O37" s="627"/>
      <c r="P37" s="627"/>
      <c r="Q37" s="490"/>
      <c r="R37" s="627"/>
      <c r="S37" s="1074"/>
    </row>
    <row r="38" spans="1:19" ht="30.75" customHeight="1">
      <c r="A38" s="1072" t="s">
        <v>82</v>
      </c>
      <c r="B38" s="1081" t="s">
        <v>440</v>
      </c>
      <c r="C38" s="982"/>
      <c r="D38" s="604" t="s">
        <v>461</v>
      </c>
      <c r="E38" s="441">
        <f>SUM(F38:K38)</f>
        <v>2526.7699999999995</v>
      </c>
      <c r="F38" s="441">
        <f aca="true" t="shared" si="10" ref="F38:K38">F39+F40</f>
        <v>352.6</v>
      </c>
      <c r="G38" s="441">
        <f t="shared" si="10"/>
        <v>378.3</v>
      </c>
      <c r="H38" s="441">
        <f t="shared" si="10"/>
        <v>490.89</v>
      </c>
      <c r="I38" s="580">
        <f t="shared" si="10"/>
        <v>521.5</v>
      </c>
      <c r="J38" s="580">
        <f t="shared" si="10"/>
        <v>391.74</v>
      </c>
      <c r="K38" s="580">
        <f t="shared" si="10"/>
        <v>391.74</v>
      </c>
      <c r="L38" s="1117" t="s">
        <v>519</v>
      </c>
      <c r="M38" s="467">
        <v>27</v>
      </c>
      <c r="N38" s="467">
        <v>28</v>
      </c>
      <c r="O38" s="467">
        <v>27</v>
      </c>
      <c r="P38" s="467">
        <v>27</v>
      </c>
      <c r="Q38" s="467">
        <v>27</v>
      </c>
      <c r="R38" s="467">
        <v>27</v>
      </c>
      <c r="S38" s="951" t="s">
        <v>51</v>
      </c>
    </row>
    <row r="39" spans="1:20" ht="15" customHeight="1">
      <c r="A39" s="1073"/>
      <c r="B39" s="1082"/>
      <c r="C39" s="982"/>
      <c r="D39" s="606" t="s">
        <v>5</v>
      </c>
      <c r="E39" s="622">
        <f>SUM(F39:K39)</f>
        <v>933.77</v>
      </c>
      <c r="F39" s="622">
        <v>104</v>
      </c>
      <c r="G39" s="622">
        <v>100</v>
      </c>
      <c r="H39" s="622">
        <f>100+96.89</f>
        <v>196.89</v>
      </c>
      <c r="I39" s="621">
        <v>263.36</v>
      </c>
      <c r="J39" s="621">
        <v>134.76</v>
      </c>
      <c r="K39" s="621">
        <v>134.76</v>
      </c>
      <c r="L39" s="1118"/>
      <c r="M39" s="601"/>
      <c r="N39" s="601"/>
      <c r="O39" s="601"/>
      <c r="P39" s="601"/>
      <c r="Q39" s="490"/>
      <c r="R39" s="601"/>
      <c r="S39" s="982"/>
      <c r="T39" s="644" t="s">
        <v>484</v>
      </c>
    </row>
    <row r="40" spans="1:20" ht="26.25" customHeight="1">
      <c r="A40" s="1073"/>
      <c r="B40" s="1082"/>
      <c r="C40" s="982"/>
      <c r="D40" s="606" t="s">
        <v>6</v>
      </c>
      <c r="E40" s="622">
        <f t="shared" si="8"/>
        <v>1593</v>
      </c>
      <c r="F40" s="622">
        <v>248.6</v>
      </c>
      <c r="G40" s="622">
        <v>278.3</v>
      </c>
      <c r="H40" s="622">
        <v>294</v>
      </c>
      <c r="I40" s="622">
        <v>258.14</v>
      </c>
      <c r="J40" s="622">
        <v>256.98</v>
      </c>
      <c r="K40" s="622">
        <v>256.98</v>
      </c>
      <c r="L40" s="1119"/>
      <c r="M40" s="599"/>
      <c r="N40" s="599"/>
      <c r="O40" s="599"/>
      <c r="P40" s="599"/>
      <c r="Q40" s="490"/>
      <c r="R40" s="599"/>
      <c r="S40" s="1075"/>
      <c r="T40" s="644" t="s">
        <v>485</v>
      </c>
    </row>
    <row r="41" spans="1:19" ht="14.25" customHeight="1">
      <c r="A41" s="611" t="s">
        <v>85</v>
      </c>
      <c r="B41" s="1085" t="s">
        <v>441</v>
      </c>
      <c r="C41" s="982"/>
      <c r="D41" s="604" t="s">
        <v>461</v>
      </c>
      <c r="E41" s="441">
        <f>SUM(F41:K41)</f>
        <v>60</v>
      </c>
      <c r="F41" s="441">
        <v>20</v>
      </c>
      <c r="G41" s="441">
        <v>20</v>
      </c>
      <c r="H41" s="441">
        <v>20</v>
      </c>
      <c r="I41" s="441">
        <f>I42</f>
        <v>0</v>
      </c>
      <c r="J41" s="441">
        <f>J42+J43</f>
        <v>0</v>
      </c>
      <c r="K41" s="441">
        <f>K42+K43</f>
        <v>0</v>
      </c>
      <c r="L41" s="1117" t="s">
        <v>520</v>
      </c>
      <c r="M41" s="467">
        <v>14</v>
      </c>
      <c r="N41" s="598">
        <v>28.6</v>
      </c>
      <c r="O41" s="598">
        <v>28.7</v>
      </c>
      <c r="P41" s="598">
        <v>28.8</v>
      </c>
      <c r="Q41" s="598">
        <v>28.9</v>
      </c>
      <c r="R41" s="467">
        <v>29</v>
      </c>
      <c r="S41" s="951" t="s">
        <v>506</v>
      </c>
    </row>
    <row r="42" spans="1:19" ht="11.25" customHeight="1">
      <c r="A42" s="613"/>
      <c r="B42" s="1086"/>
      <c r="C42" s="982"/>
      <c r="D42" s="606" t="s">
        <v>5</v>
      </c>
      <c r="E42" s="622">
        <f t="shared" si="8"/>
        <v>60</v>
      </c>
      <c r="F42" s="622">
        <v>20</v>
      </c>
      <c r="G42" s="622">
        <v>20</v>
      </c>
      <c r="H42" s="622">
        <v>20</v>
      </c>
      <c r="I42" s="622">
        <v>0</v>
      </c>
      <c r="J42" s="622">
        <v>0</v>
      </c>
      <c r="K42" s="622">
        <v>0</v>
      </c>
      <c r="L42" s="1118"/>
      <c r="M42" s="601"/>
      <c r="N42" s="601"/>
      <c r="O42" s="601"/>
      <c r="P42" s="601"/>
      <c r="Q42" s="490"/>
      <c r="R42" s="601"/>
      <c r="S42" s="982"/>
    </row>
    <row r="43" spans="1:19" ht="11.25" customHeight="1">
      <c r="A43" s="614"/>
      <c r="B43" s="1087"/>
      <c r="C43" s="982"/>
      <c r="D43" s="615" t="s">
        <v>6</v>
      </c>
      <c r="E43" s="440">
        <v>0</v>
      </c>
      <c r="F43" s="622">
        <v>0</v>
      </c>
      <c r="G43" s="622">
        <v>0</v>
      </c>
      <c r="H43" s="622">
        <v>0</v>
      </c>
      <c r="I43" s="622">
        <v>0</v>
      </c>
      <c r="J43" s="622">
        <v>0</v>
      </c>
      <c r="K43" s="622">
        <v>0</v>
      </c>
      <c r="L43" s="1119"/>
      <c r="M43" s="599"/>
      <c r="N43" s="599"/>
      <c r="O43" s="599"/>
      <c r="P43" s="599"/>
      <c r="Q43" s="490"/>
      <c r="R43" s="599"/>
      <c r="S43" s="1075"/>
    </row>
    <row r="44" spans="1:19" ht="19.5" customHeight="1">
      <c r="A44" s="611" t="s">
        <v>138</v>
      </c>
      <c r="B44" s="1085" t="s">
        <v>442</v>
      </c>
      <c r="C44" s="982"/>
      <c r="D44" s="604" t="s">
        <v>438</v>
      </c>
      <c r="E44" s="441">
        <f>SUM(F44:K44)</f>
        <v>1122.6</v>
      </c>
      <c r="F44" s="441">
        <f aca="true" t="shared" si="11" ref="F44:K44">F45</f>
        <v>352.12</v>
      </c>
      <c r="G44" s="441">
        <f t="shared" si="11"/>
        <v>278.2</v>
      </c>
      <c r="H44" s="441">
        <f t="shared" si="11"/>
        <v>241.31</v>
      </c>
      <c r="I44" s="441">
        <f t="shared" si="11"/>
        <v>250.97000000000003</v>
      </c>
      <c r="J44" s="441">
        <f t="shared" si="11"/>
        <v>0</v>
      </c>
      <c r="K44" s="441">
        <f t="shared" si="11"/>
        <v>0</v>
      </c>
      <c r="L44" s="1117" t="s">
        <v>521</v>
      </c>
      <c r="M44" s="467">
        <v>17</v>
      </c>
      <c r="N44" s="598">
        <v>18.2</v>
      </c>
      <c r="O44" s="467">
        <v>19</v>
      </c>
      <c r="P44" s="467">
        <v>20</v>
      </c>
      <c r="Q44" s="467">
        <v>21</v>
      </c>
      <c r="R44" s="467">
        <v>22</v>
      </c>
      <c r="S44" s="951" t="s">
        <v>443</v>
      </c>
    </row>
    <row r="45" spans="1:19" ht="14.25" customHeight="1">
      <c r="A45" s="613"/>
      <c r="B45" s="1086"/>
      <c r="C45" s="982"/>
      <c r="D45" s="606" t="s">
        <v>5</v>
      </c>
      <c r="E45" s="622">
        <f>SUM(F45:K45)</f>
        <v>1122.6</v>
      </c>
      <c r="F45" s="622">
        <v>352.12</v>
      </c>
      <c r="G45" s="622">
        <f>478.2-200</f>
        <v>278.2</v>
      </c>
      <c r="H45" s="622">
        <f>324.62+13.58-96.89</f>
        <v>241.31</v>
      </c>
      <c r="I45" s="622">
        <f>132.05+112.65+6.27</f>
        <v>250.97000000000003</v>
      </c>
      <c r="J45" s="622">
        <v>0</v>
      </c>
      <c r="K45" s="622">
        <v>0</v>
      </c>
      <c r="L45" s="1118"/>
      <c r="M45" s="601"/>
      <c r="N45" s="601"/>
      <c r="O45" s="601"/>
      <c r="P45" s="601"/>
      <c r="Q45" s="490"/>
      <c r="R45" s="601"/>
      <c r="S45" s="982"/>
    </row>
    <row r="46" spans="1:19" ht="17.25" customHeight="1">
      <c r="A46" s="613"/>
      <c r="B46" s="1087"/>
      <c r="C46" s="982"/>
      <c r="D46" s="606" t="s">
        <v>6</v>
      </c>
      <c r="E46" s="622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1119"/>
      <c r="M46" s="599"/>
      <c r="N46" s="599"/>
      <c r="O46" s="599"/>
      <c r="P46" s="599"/>
      <c r="Q46" s="490"/>
      <c r="R46" s="599"/>
      <c r="S46" s="1075"/>
    </row>
    <row r="47" spans="1:19" ht="23.25" customHeight="1">
      <c r="A47" s="611" t="s">
        <v>444</v>
      </c>
      <c r="B47" s="1085" t="s">
        <v>37</v>
      </c>
      <c r="C47" s="982"/>
      <c r="D47" s="618" t="s">
        <v>438</v>
      </c>
      <c r="E47" s="441">
        <f>SUM(F47:K47)</f>
        <v>463.39</v>
      </c>
      <c r="F47" s="441">
        <v>128.72</v>
      </c>
      <c r="G47" s="505">
        <f>G48+G49</f>
        <v>118.46000000000001</v>
      </c>
      <c r="H47" s="441">
        <f>H48+H49</f>
        <v>106.25</v>
      </c>
      <c r="I47" s="441">
        <f>I48+I49</f>
        <v>109.96</v>
      </c>
      <c r="J47" s="441">
        <f>J48+J49</f>
        <v>0</v>
      </c>
      <c r="K47" s="441">
        <f>K48+K49</f>
        <v>0</v>
      </c>
      <c r="L47" s="1117" t="s">
        <v>522</v>
      </c>
      <c r="M47" s="597">
        <v>27</v>
      </c>
      <c r="N47" s="597">
        <v>18</v>
      </c>
      <c r="O47" s="597">
        <v>13</v>
      </c>
      <c r="P47" s="597">
        <v>14</v>
      </c>
      <c r="Q47" s="597">
        <v>15</v>
      </c>
      <c r="R47" s="597">
        <v>16</v>
      </c>
      <c r="S47" s="951" t="s">
        <v>146</v>
      </c>
    </row>
    <row r="48" spans="1:19" ht="12" customHeight="1">
      <c r="A48" s="613"/>
      <c r="B48" s="1086"/>
      <c r="C48" s="982"/>
      <c r="D48" s="610" t="s">
        <v>5</v>
      </c>
      <c r="E48" s="622">
        <f>SUM(F48:K48)</f>
        <v>463.39</v>
      </c>
      <c r="F48" s="622">
        <v>128.72</v>
      </c>
      <c r="G48" s="464">
        <f>154-35.54</f>
        <v>118.46000000000001</v>
      </c>
      <c r="H48" s="622">
        <f>116-9.75</f>
        <v>106.25</v>
      </c>
      <c r="I48" s="621">
        <v>109.96</v>
      </c>
      <c r="J48" s="621">
        <v>0</v>
      </c>
      <c r="K48" s="621">
        <v>0</v>
      </c>
      <c r="L48" s="1118"/>
      <c r="M48" s="601"/>
      <c r="N48" s="601"/>
      <c r="O48" s="601"/>
      <c r="P48" s="601"/>
      <c r="Q48" s="490"/>
      <c r="R48" s="601"/>
      <c r="S48" s="982"/>
    </row>
    <row r="49" spans="1:19" ht="12" customHeight="1">
      <c r="A49" s="614"/>
      <c r="B49" s="1087"/>
      <c r="C49" s="1075"/>
      <c r="D49" s="620" t="s">
        <v>6</v>
      </c>
      <c r="E49" s="440">
        <v>0</v>
      </c>
      <c r="F49" s="440">
        <v>0</v>
      </c>
      <c r="G49" s="506">
        <v>0</v>
      </c>
      <c r="H49" s="440">
        <v>0</v>
      </c>
      <c r="I49" s="443">
        <v>0</v>
      </c>
      <c r="J49" s="443">
        <v>0</v>
      </c>
      <c r="K49" s="443">
        <v>0</v>
      </c>
      <c r="L49" s="1119"/>
      <c r="M49" s="599"/>
      <c r="N49" s="599"/>
      <c r="O49" s="599"/>
      <c r="P49" s="599"/>
      <c r="Q49" s="490"/>
      <c r="R49" s="599"/>
      <c r="S49" s="1075"/>
    </row>
    <row r="50" spans="1:19" ht="12.75" customHeight="1">
      <c r="A50" s="447" t="s">
        <v>38</v>
      </c>
      <c r="B50" s="1127" t="s">
        <v>453</v>
      </c>
      <c r="C50" s="1092"/>
      <c r="D50" s="1092"/>
      <c r="E50" s="1092"/>
      <c r="F50" s="1092"/>
      <c r="G50" s="1092"/>
      <c r="H50" s="1092"/>
      <c r="I50" s="1092"/>
      <c r="J50" s="1092"/>
      <c r="K50" s="1092"/>
      <c r="L50" s="1090"/>
      <c r="M50" s="1090"/>
      <c r="N50" s="1090"/>
      <c r="O50" s="1090"/>
      <c r="P50" s="1090"/>
      <c r="Q50" s="1090"/>
      <c r="R50" s="1090"/>
      <c r="S50" s="1090"/>
    </row>
    <row r="51" spans="1:19" ht="27" customHeight="1">
      <c r="A51" s="611" t="s">
        <v>39</v>
      </c>
      <c r="B51" s="1081" t="s">
        <v>436</v>
      </c>
      <c r="C51" s="1125" t="s">
        <v>472</v>
      </c>
      <c r="D51" s="618" t="s">
        <v>438</v>
      </c>
      <c r="E51" s="439">
        <f>SUM(F51:K51)</f>
        <v>46</v>
      </c>
      <c r="F51" s="439">
        <f aca="true" t="shared" si="12" ref="F51:K51">F56</f>
        <v>0</v>
      </c>
      <c r="G51" s="439">
        <f t="shared" si="12"/>
        <v>20</v>
      </c>
      <c r="H51" s="439">
        <f t="shared" si="12"/>
        <v>13</v>
      </c>
      <c r="I51" s="439">
        <f t="shared" si="12"/>
        <v>13</v>
      </c>
      <c r="J51" s="439">
        <f t="shared" si="12"/>
        <v>0</v>
      </c>
      <c r="K51" s="439">
        <f t="shared" si="12"/>
        <v>0</v>
      </c>
      <c r="L51" s="972" t="s">
        <v>523</v>
      </c>
      <c r="M51" s="609">
        <v>10</v>
      </c>
      <c r="N51" s="609">
        <v>9</v>
      </c>
      <c r="O51" s="609">
        <v>10</v>
      </c>
      <c r="P51" s="609">
        <v>11</v>
      </c>
      <c r="Q51" s="609">
        <v>12</v>
      </c>
      <c r="R51" s="609">
        <v>13</v>
      </c>
      <c r="S51" s="1072" t="s">
        <v>437</v>
      </c>
    </row>
    <row r="52" spans="1:19" ht="13.5" customHeight="1" hidden="1">
      <c r="A52" s="494"/>
      <c r="B52" s="1082"/>
      <c r="C52" s="1126"/>
      <c r="D52" s="1099"/>
      <c r="E52" s="1123"/>
      <c r="F52" s="622"/>
      <c r="G52" s="622"/>
      <c r="H52" s="622"/>
      <c r="I52" s="1124"/>
      <c r="J52" s="1124"/>
      <c r="K52" s="1124"/>
      <c r="L52" s="1106"/>
      <c r="M52" s="616"/>
      <c r="N52" s="616"/>
      <c r="O52" s="616"/>
      <c r="P52" s="476"/>
      <c r="Q52" s="490"/>
      <c r="R52" s="616"/>
      <c r="S52" s="1086"/>
    </row>
    <row r="53" spans="1:19" ht="11.25" customHeight="1" hidden="1">
      <c r="A53" s="424"/>
      <c r="B53" s="1082"/>
      <c r="C53" s="1126"/>
      <c r="D53" s="1099"/>
      <c r="E53" s="1123"/>
      <c r="F53" s="622"/>
      <c r="G53" s="622"/>
      <c r="H53" s="622"/>
      <c r="I53" s="1124"/>
      <c r="J53" s="1124"/>
      <c r="K53" s="1124"/>
      <c r="L53" s="1106"/>
      <c r="M53" s="616"/>
      <c r="N53" s="616"/>
      <c r="O53" s="616"/>
      <c r="P53" s="476"/>
      <c r="Q53" s="490"/>
      <c r="R53" s="616"/>
      <c r="S53" s="1086"/>
    </row>
    <row r="54" spans="1:19" ht="8.25" customHeight="1" hidden="1">
      <c r="A54" s="424"/>
      <c r="B54" s="1082"/>
      <c r="C54" s="1126"/>
      <c r="D54" s="1099"/>
      <c r="E54" s="1123"/>
      <c r="F54" s="622"/>
      <c r="G54" s="622"/>
      <c r="H54" s="622"/>
      <c r="I54" s="1124"/>
      <c r="J54" s="1124"/>
      <c r="K54" s="1124"/>
      <c r="L54" s="1106"/>
      <c r="M54" s="616"/>
      <c r="N54" s="616"/>
      <c r="O54" s="616"/>
      <c r="P54" s="476"/>
      <c r="Q54" s="490"/>
      <c r="R54" s="616"/>
      <c r="S54" s="1086"/>
    </row>
    <row r="55" spans="1:19" ht="14.25" customHeight="1" hidden="1" thickBot="1">
      <c r="A55" s="424"/>
      <c r="B55" s="1082"/>
      <c r="C55" s="1126"/>
      <c r="D55" s="1099"/>
      <c r="E55" s="1123"/>
      <c r="F55" s="622"/>
      <c r="G55" s="622"/>
      <c r="H55" s="622"/>
      <c r="I55" s="1124"/>
      <c r="J55" s="1124"/>
      <c r="K55" s="1124"/>
      <c r="L55" s="1106"/>
      <c r="M55" s="616"/>
      <c r="N55" s="616"/>
      <c r="O55" s="616"/>
      <c r="P55" s="476"/>
      <c r="Q55" s="490"/>
      <c r="R55" s="616"/>
      <c r="S55" s="1086"/>
    </row>
    <row r="56" spans="1:19" ht="14.25" customHeight="1">
      <c r="A56" s="424"/>
      <c r="B56" s="1083"/>
      <c r="C56" s="623"/>
      <c r="D56" s="610" t="s">
        <v>5</v>
      </c>
      <c r="E56" s="622">
        <f>SUM(F56:K56)</f>
        <v>46</v>
      </c>
      <c r="F56" s="622">
        <v>0</v>
      </c>
      <c r="G56" s="622">
        <v>20</v>
      </c>
      <c r="H56" s="622">
        <f>20-2-5</f>
        <v>13</v>
      </c>
      <c r="I56" s="622">
        <v>13</v>
      </c>
      <c r="J56" s="622">
        <v>0</v>
      </c>
      <c r="K56" s="622">
        <v>0</v>
      </c>
      <c r="L56" s="1106"/>
      <c r="M56" s="616"/>
      <c r="N56" s="616"/>
      <c r="O56" s="616"/>
      <c r="P56" s="476"/>
      <c r="Q56" s="490"/>
      <c r="R56" s="616"/>
      <c r="S56" s="1086"/>
    </row>
    <row r="57" spans="1:19" ht="29.25" customHeight="1" thickBot="1">
      <c r="A57" s="425"/>
      <c r="B57" s="1084"/>
      <c r="C57" s="446"/>
      <c r="D57" s="610" t="s">
        <v>6</v>
      </c>
      <c r="E57" s="622">
        <v>0</v>
      </c>
      <c r="F57" s="622">
        <v>0</v>
      </c>
      <c r="G57" s="622">
        <v>0</v>
      </c>
      <c r="H57" s="622">
        <v>0</v>
      </c>
      <c r="I57" s="621">
        <v>0</v>
      </c>
      <c r="J57" s="621">
        <v>0</v>
      </c>
      <c r="K57" s="621">
        <v>0</v>
      </c>
      <c r="L57" s="1107"/>
      <c r="M57" s="617"/>
      <c r="N57" s="617"/>
      <c r="O57" s="617"/>
      <c r="P57" s="477"/>
      <c r="Q57" s="490"/>
      <c r="R57" s="617"/>
      <c r="S57" s="1087"/>
    </row>
    <row r="58" spans="1:20" ht="24" customHeight="1">
      <c r="A58" s="1075"/>
      <c r="B58" s="1112" t="s">
        <v>13</v>
      </c>
      <c r="C58" s="1113"/>
      <c r="D58" s="556" t="s">
        <v>438</v>
      </c>
      <c r="E58" s="480">
        <f>SUM(F58:K58)</f>
        <v>5815.18</v>
      </c>
      <c r="F58" s="466">
        <f aca="true" t="shared" si="13" ref="F58:K58">F59+F60</f>
        <v>1040.44</v>
      </c>
      <c r="G58" s="466">
        <f t="shared" si="13"/>
        <v>1371.1499999999999</v>
      </c>
      <c r="H58" s="466">
        <f t="shared" si="13"/>
        <v>1112.5500000000002</v>
      </c>
      <c r="I58" s="466">
        <f t="shared" si="13"/>
        <v>1224.76</v>
      </c>
      <c r="J58" s="466">
        <f t="shared" si="13"/>
        <v>519.74</v>
      </c>
      <c r="K58" s="646">
        <f t="shared" si="13"/>
        <v>546.54</v>
      </c>
      <c r="L58" s="1115"/>
      <c r="M58" s="926"/>
      <c r="N58" s="926"/>
      <c r="O58" s="926"/>
      <c r="P58" s="926"/>
      <c r="Q58" s="926"/>
      <c r="R58" s="951"/>
      <c r="S58" s="926"/>
      <c r="T58" s="645" t="s">
        <v>475</v>
      </c>
    </row>
    <row r="59" spans="1:19" ht="12" customHeight="1">
      <c r="A59" s="1111"/>
      <c r="B59" s="1111"/>
      <c r="C59" s="1114"/>
      <c r="D59" s="481" t="s">
        <v>5</v>
      </c>
      <c r="E59" s="482">
        <f>SUM(F59:K59)</f>
        <v>4222.18</v>
      </c>
      <c r="F59" s="482">
        <f aca="true" t="shared" si="14" ref="F59:K59">F51+F47+F44+F41+F39+F29+F21+F11</f>
        <v>791.84</v>
      </c>
      <c r="G59" s="482">
        <f t="shared" si="14"/>
        <v>1092.85</v>
      </c>
      <c r="H59" s="482">
        <f t="shared" si="14"/>
        <v>818.5500000000001</v>
      </c>
      <c r="I59" s="482">
        <f t="shared" si="14"/>
        <v>966.62</v>
      </c>
      <c r="J59" s="482">
        <f t="shared" si="14"/>
        <v>262.76</v>
      </c>
      <c r="K59" s="647">
        <f t="shared" si="14"/>
        <v>289.56</v>
      </c>
      <c r="L59" s="1116"/>
      <c r="M59" s="1111"/>
      <c r="N59" s="1111"/>
      <c r="O59" s="1111"/>
      <c r="P59" s="1111"/>
      <c r="Q59" s="1111"/>
      <c r="R59" s="982"/>
      <c r="S59" s="853"/>
    </row>
    <row r="60" spans="1:19" ht="12.75" customHeight="1" thickBot="1">
      <c r="A60" s="1111"/>
      <c r="B60" s="1111"/>
      <c r="C60" s="1114"/>
      <c r="D60" s="483" t="s">
        <v>6</v>
      </c>
      <c r="E60" s="484">
        <f>SUM(F60:K60)</f>
        <v>1593</v>
      </c>
      <c r="F60" s="484">
        <f aca="true" t="shared" si="15" ref="F60:K60">F40</f>
        <v>248.6</v>
      </c>
      <c r="G60" s="484">
        <f t="shared" si="15"/>
        <v>278.3</v>
      </c>
      <c r="H60" s="484">
        <f t="shared" si="15"/>
        <v>294</v>
      </c>
      <c r="I60" s="484">
        <f t="shared" si="15"/>
        <v>258.14</v>
      </c>
      <c r="J60" s="484">
        <f t="shared" si="15"/>
        <v>256.98</v>
      </c>
      <c r="K60" s="648">
        <f t="shared" si="15"/>
        <v>256.98</v>
      </c>
      <c r="L60" s="1116"/>
      <c r="M60" s="1111"/>
      <c r="N60" s="1111"/>
      <c r="O60" s="1111"/>
      <c r="P60" s="1111"/>
      <c r="Q60" s="1111"/>
      <c r="R60" s="1075"/>
      <c r="S60" s="853"/>
    </row>
  </sheetData>
  <sheetProtection/>
  <mergeCells count="95">
    <mergeCell ref="R29:R30"/>
    <mergeCell ref="C51:C55"/>
    <mergeCell ref="B50:S50"/>
    <mergeCell ref="S44:S46"/>
    <mergeCell ref="L41:L43"/>
    <mergeCell ref="S41:S43"/>
    <mergeCell ref="S51:S57"/>
    <mergeCell ref="C35:C49"/>
    <mergeCell ref="L47:L49"/>
    <mergeCell ref="S47:S49"/>
    <mergeCell ref="D52:D55"/>
    <mergeCell ref="L31:L33"/>
    <mergeCell ref="E52:E55"/>
    <mergeCell ref="Q58:Q60"/>
    <mergeCell ref="L38:L40"/>
    <mergeCell ref="L35:L37"/>
    <mergeCell ref="J52:J55"/>
    <mergeCell ref="I52:I55"/>
    <mergeCell ref="K52:K55"/>
    <mergeCell ref="S58:S60"/>
    <mergeCell ref="S35:S37"/>
    <mergeCell ref="O58:O60"/>
    <mergeCell ref="L44:L46"/>
    <mergeCell ref="L14:L19"/>
    <mergeCell ref="P58:P60"/>
    <mergeCell ref="L51:L57"/>
    <mergeCell ref="S38:S40"/>
    <mergeCell ref="N29:N30"/>
    <mergeCell ref="R58:R60"/>
    <mergeCell ref="A58:A60"/>
    <mergeCell ref="B58:B60"/>
    <mergeCell ref="C58:C60"/>
    <mergeCell ref="L58:L60"/>
    <mergeCell ref="M58:M60"/>
    <mergeCell ref="N58:N60"/>
    <mergeCell ref="O29:O30"/>
    <mergeCell ref="A21:A27"/>
    <mergeCell ref="C21:C27"/>
    <mergeCell ref="L21:L27"/>
    <mergeCell ref="A11:A13"/>
    <mergeCell ref="I22:I23"/>
    <mergeCell ref="E22:E23"/>
    <mergeCell ref="J22:J23"/>
    <mergeCell ref="K22:K23"/>
    <mergeCell ref="L29:L30"/>
    <mergeCell ref="D6:D7"/>
    <mergeCell ref="S21:S27"/>
    <mergeCell ref="A29:A33"/>
    <mergeCell ref="B29:B33"/>
    <mergeCell ref="C29:C33"/>
    <mergeCell ref="A38:A40"/>
    <mergeCell ref="B38:B40"/>
    <mergeCell ref="B34:S34"/>
    <mergeCell ref="S29:S33"/>
    <mergeCell ref="M29:M30"/>
    <mergeCell ref="A6:A7"/>
    <mergeCell ref="B6:B7"/>
    <mergeCell ref="C6:C7"/>
    <mergeCell ref="E6:J6"/>
    <mergeCell ref="B10:S10"/>
    <mergeCell ref="D22:D25"/>
    <mergeCell ref="C11:C13"/>
    <mergeCell ref="B20:S20"/>
    <mergeCell ref="B21:B27"/>
    <mergeCell ref="L6:R6"/>
    <mergeCell ref="B9:S9"/>
    <mergeCell ref="P29:P30"/>
    <mergeCell ref="B28:S28"/>
    <mergeCell ref="Q29:Q30"/>
    <mergeCell ref="L2:S2"/>
    <mergeCell ref="L1:S1"/>
    <mergeCell ref="S6:S7"/>
    <mergeCell ref="I3:S3"/>
    <mergeCell ref="B11:B19"/>
    <mergeCell ref="A4:S4"/>
    <mergeCell ref="O14:O16"/>
    <mergeCell ref="P14:P16"/>
    <mergeCell ref="Q14:Q16"/>
    <mergeCell ref="R14:R16"/>
    <mergeCell ref="T6:T7"/>
    <mergeCell ref="B51:B57"/>
    <mergeCell ref="B47:B49"/>
    <mergeCell ref="B44:B46"/>
    <mergeCell ref="B41:B43"/>
    <mergeCell ref="B35:B37"/>
    <mergeCell ref="S14:S16"/>
    <mergeCell ref="S17:S19"/>
    <mergeCell ref="M17:M19"/>
    <mergeCell ref="N17:N19"/>
    <mergeCell ref="O17:O19"/>
    <mergeCell ref="P17:P19"/>
    <mergeCell ref="Q17:Q19"/>
    <mergeCell ref="R17:R19"/>
    <mergeCell ref="M14:M16"/>
    <mergeCell ref="N14:N16"/>
  </mergeCells>
  <printOptions horizontalCentered="1"/>
  <pageMargins left="0.2362204724409449" right="0.2362204724409449" top="1.141732283464567" bottom="0.35433070866141736" header="0" footer="0"/>
  <pageSetup fitToHeight="4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840" t="s">
        <v>302</v>
      </c>
      <c r="I1" s="840"/>
      <c r="J1" s="840"/>
      <c r="K1" s="840"/>
      <c r="L1" s="840"/>
      <c r="M1" s="840"/>
      <c r="N1" s="840"/>
      <c r="O1" s="840"/>
      <c r="P1" s="840"/>
      <c r="Q1" s="840"/>
    </row>
    <row r="2" spans="1:17" ht="29.25" customHeight="1">
      <c r="A2" s="841" t="s">
        <v>158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842" t="s">
        <v>16</v>
      </c>
      <c r="B4" s="843" t="s">
        <v>15</v>
      </c>
      <c r="C4" s="842" t="s">
        <v>8</v>
      </c>
      <c r="D4" s="842" t="s">
        <v>9</v>
      </c>
      <c r="E4" s="847" t="s">
        <v>0</v>
      </c>
      <c r="F4" s="848"/>
      <c r="G4" s="848"/>
      <c r="H4" s="848"/>
      <c r="I4" s="848"/>
      <c r="J4" s="849"/>
      <c r="K4" s="847" t="s">
        <v>17</v>
      </c>
      <c r="L4" s="848"/>
      <c r="M4" s="848"/>
      <c r="N4" s="848"/>
      <c r="O4" s="848"/>
      <c r="P4" s="849"/>
      <c r="Q4" s="843" t="s">
        <v>163</v>
      </c>
    </row>
    <row r="5" spans="1:17" ht="13.5" customHeight="1">
      <c r="A5" s="842"/>
      <c r="B5" s="844"/>
      <c r="C5" s="842"/>
      <c r="D5" s="842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44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853" t="s">
        <v>18</v>
      </c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</row>
    <row r="8" spans="1:17" ht="14.25" customHeight="1">
      <c r="A8" s="21" t="s">
        <v>72</v>
      </c>
      <c r="B8" s="1090" t="s">
        <v>73</v>
      </c>
      <c r="C8" s="1090"/>
      <c r="D8" s="1090"/>
      <c r="E8" s="1090"/>
      <c r="F8" s="1090"/>
      <c r="G8" s="1090"/>
      <c r="H8" s="1090"/>
      <c r="I8" s="1090"/>
      <c r="J8" s="1090"/>
      <c r="K8" s="1090"/>
      <c r="L8" s="1090"/>
      <c r="M8" s="1090"/>
      <c r="N8" s="1090"/>
      <c r="O8" s="1090"/>
      <c r="P8" s="1090"/>
      <c r="Q8" s="1090"/>
    </row>
    <row r="9" spans="1:17" ht="18.75" customHeight="1">
      <c r="A9" s="1072" t="s">
        <v>10</v>
      </c>
      <c r="B9" s="1081" t="s">
        <v>198</v>
      </c>
      <c r="C9" s="951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919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136"/>
      <c r="B10" s="1134"/>
      <c r="C10" s="884"/>
      <c r="D10" s="951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886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136"/>
      <c r="B11" s="1134"/>
      <c r="C11" s="884"/>
      <c r="D11" s="1075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952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128"/>
      <c r="B12" s="1128" t="s">
        <v>23</v>
      </c>
      <c r="C12" s="1128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133"/>
      <c r="L12" s="1133"/>
      <c r="M12" s="1133"/>
      <c r="N12" s="1133"/>
      <c r="O12" s="1133"/>
      <c r="P12" s="1133"/>
      <c r="Q12" s="1133"/>
    </row>
    <row r="13" spans="1:17" ht="9.75" customHeight="1">
      <c r="A13" s="1129"/>
      <c r="B13" s="1129"/>
      <c r="C13" s="1129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886"/>
      <c r="L13" s="886"/>
      <c r="M13" s="886"/>
      <c r="N13" s="886"/>
      <c r="O13" s="886"/>
      <c r="P13" s="886"/>
      <c r="Q13" s="886"/>
    </row>
    <row r="14" spans="1:17" ht="9" customHeight="1">
      <c r="A14" s="1129"/>
      <c r="B14" s="1129"/>
      <c r="C14" s="1129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952"/>
      <c r="L14" s="952"/>
      <c r="M14" s="952"/>
      <c r="N14" s="952"/>
      <c r="O14" s="952"/>
      <c r="P14" s="952"/>
      <c r="Q14" s="952"/>
    </row>
    <row r="15" spans="1:17" ht="13.5" customHeight="1">
      <c r="A15" s="21" t="s">
        <v>24</v>
      </c>
      <c r="B15" s="1090" t="s">
        <v>76</v>
      </c>
      <c r="C15" s="1090"/>
      <c r="D15" s="1090"/>
      <c r="E15" s="1090"/>
      <c r="F15" s="1090"/>
      <c r="G15" s="1090"/>
      <c r="H15" s="1090"/>
      <c r="I15" s="1090"/>
      <c r="J15" s="1090"/>
      <c r="K15" s="1090"/>
      <c r="L15" s="1090"/>
      <c r="M15" s="1090"/>
      <c r="N15" s="1090"/>
      <c r="O15" s="1090"/>
      <c r="P15" s="1090"/>
      <c r="Q15" s="1090"/>
    </row>
    <row r="16" spans="1:17" ht="24" customHeight="1">
      <c r="A16" s="1072" t="s">
        <v>26</v>
      </c>
      <c r="B16" s="1081" t="s">
        <v>200</v>
      </c>
      <c r="C16" s="951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919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136"/>
      <c r="B17" s="1134"/>
      <c r="C17" s="884"/>
      <c r="D17" s="951" t="s">
        <v>217</v>
      </c>
      <c r="E17" s="922">
        <f>SUM(F17:J18)</f>
        <v>80</v>
      </c>
      <c r="F17" s="922">
        <v>35</v>
      </c>
      <c r="G17" s="922">
        <v>45</v>
      </c>
      <c r="H17" s="922">
        <v>0</v>
      </c>
      <c r="I17" s="922">
        <v>0</v>
      </c>
      <c r="J17" s="922">
        <v>0</v>
      </c>
      <c r="K17" s="886"/>
      <c r="L17" s="1130">
        <v>100</v>
      </c>
      <c r="M17" s="1130">
        <v>100</v>
      </c>
      <c r="N17" s="1130">
        <v>0</v>
      </c>
      <c r="O17" s="1130">
        <v>0</v>
      </c>
      <c r="P17" s="1130">
        <v>0</v>
      </c>
      <c r="Q17" s="1120" t="s">
        <v>74</v>
      </c>
    </row>
    <row r="18" spans="1:17" ht="6.75" customHeight="1">
      <c r="A18" s="1136"/>
      <c r="B18" s="1134"/>
      <c r="C18" s="884"/>
      <c r="D18" s="982"/>
      <c r="E18" s="949"/>
      <c r="F18" s="949"/>
      <c r="G18" s="949"/>
      <c r="H18" s="949"/>
      <c r="I18" s="949"/>
      <c r="J18" s="949"/>
      <c r="K18" s="886"/>
      <c r="L18" s="1102"/>
      <c r="M18" s="1102"/>
      <c r="N18" s="1102"/>
      <c r="O18" s="1102"/>
      <c r="P18" s="1102"/>
      <c r="Q18" s="1084"/>
    </row>
    <row r="19" spans="1:17" ht="15" customHeight="1">
      <c r="A19" s="1136"/>
      <c r="B19" s="1134"/>
      <c r="C19" s="884"/>
      <c r="D19" s="982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886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138"/>
      <c r="B20" s="1139"/>
      <c r="C20" s="971"/>
      <c r="D20" s="1075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952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128"/>
      <c r="B21" s="1128" t="s">
        <v>43</v>
      </c>
      <c r="C21" s="1128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128"/>
      <c r="L21" s="1128"/>
      <c r="M21" s="1128"/>
      <c r="N21" s="1128"/>
      <c r="O21" s="1128"/>
      <c r="P21" s="1128"/>
      <c r="Q21" s="1128"/>
    </row>
    <row r="22" spans="1:17" ht="15" customHeight="1">
      <c r="A22" s="1129"/>
      <c r="B22" s="1129"/>
      <c r="C22" s="1129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129"/>
      <c r="L22" s="1129"/>
      <c r="M22" s="1129"/>
      <c r="N22" s="1129"/>
      <c r="O22" s="1129"/>
      <c r="P22" s="1129"/>
      <c r="Q22" s="1129"/>
    </row>
    <row r="23" spans="1:17" ht="12" customHeight="1">
      <c r="A23" s="1129"/>
      <c r="B23" s="1129"/>
      <c r="C23" s="1129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129"/>
      <c r="L23" s="1129"/>
      <c r="M23" s="1129"/>
      <c r="N23" s="1129"/>
      <c r="O23" s="1129"/>
      <c r="P23" s="1129"/>
      <c r="Q23" s="1129"/>
    </row>
    <row r="24" spans="1:17" ht="12" customHeight="1">
      <c r="A24" s="21" t="s">
        <v>28</v>
      </c>
      <c r="B24" s="1090" t="s">
        <v>77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</row>
    <row r="25" spans="1:17" ht="19.5" customHeight="1">
      <c r="A25" s="1072" t="s">
        <v>30</v>
      </c>
      <c r="B25" s="1081" t="s">
        <v>199</v>
      </c>
      <c r="C25" s="951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919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136"/>
      <c r="B26" s="1134"/>
      <c r="C26" s="884"/>
      <c r="D26" s="951" t="s">
        <v>218</v>
      </c>
      <c r="E26" s="922">
        <f>SUM(F26:J27)</f>
        <v>32</v>
      </c>
      <c r="F26" s="922">
        <v>10</v>
      </c>
      <c r="G26" s="922">
        <v>22</v>
      </c>
      <c r="H26" s="922">
        <v>0</v>
      </c>
      <c r="I26" s="922">
        <v>0</v>
      </c>
      <c r="J26" s="922">
        <v>0</v>
      </c>
      <c r="K26" s="886"/>
      <c r="L26" s="1130">
        <v>100</v>
      </c>
      <c r="M26" s="1130">
        <v>100</v>
      </c>
      <c r="N26" s="1131">
        <v>0</v>
      </c>
      <c r="O26" s="1131">
        <v>0</v>
      </c>
      <c r="P26" s="1131">
        <v>0</v>
      </c>
      <c r="Q26" s="1120" t="s">
        <v>74</v>
      </c>
    </row>
    <row r="27" spans="1:17" ht="5.25" customHeight="1">
      <c r="A27" s="1136"/>
      <c r="B27" s="1134"/>
      <c r="C27" s="884"/>
      <c r="D27" s="982"/>
      <c r="E27" s="949"/>
      <c r="F27" s="949"/>
      <c r="G27" s="949"/>
      <c r="H27" s="949"/>
      <c r="I27" s="949"/>
      <c r="J27" s="949"/>
      <c r="K27" s="886"/>
      <c r="L27" s="1102"/>
      <c r="M27" s="1102"/>
      <c r="N27" s="1131"/>
      <c r="O27" s="1131"/>
      <c r="P27" s="1131"/>
      <c r="Q27" s="1084"/>
    </row>
    <row r="28" spans="1:17" ht="13.5" customHeight="1">
      <c r="A28" s="1136"/>
      <c r="B28" s="1134"/>
      <c r="C28" s="884"/>
      <c r="D28" s="982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886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136"/>
      <c r="B29" s="1134"/>
      <c r="C29" s="884"/>
      <c r="D29" s="982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886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138"/>
      <c r="B30" s="1139"/>
      <c r="C30" s="971"/>
      <c r="D30" s="1075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952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128"/>
      <c r="B31" s="1128" t="s">
        <v>33</v>
      </c>
      <c r="C31" s="1128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128"/>
      <c r="L31" s="1128"/>
      <c r="M31" s="1128"/>
      <c r="N31" s="1128"/>
      <c r="O31" s="1128"/>
      <c r="P31" s="1128"/>
      <c r="Q31" s="1128"/>
    </row>
    <row r="32" spans="1:17" ht="10.5" customHeight="1">
      <c r="A32" s="1129"/>
      <c r="B32" s="1129"/>
      <c r="C32" s="1129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129"/>
      <c r="L32" s="1129"/>
      <c r="M32" s="1129"/>
      <c r="N32" s="1129"/>
      <c r="O32" s="1129"/>
      <c r="P32" s="1129"/>
      <c r="Q32" s="1129"/>
    </row>
    <row r="33" spans="1:17" ht="13.5" customHeight="1">
      <c r="A33" s="1129"/>
      <c r="B33" s="1129"/>
      <c r="C33" s="1129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129"/>
      <c r="L33" s="1129"/>
      <c r="M33" s="1129"/>
      <c r="N33" s="1129"/>
      <c r="O33" s="1129"/>
      <c r="P33" s="1129"/>
      <c r="Q33" s="1129"/>
    </row>
    <row r="34" spans="1:17" ht="12.75" customHeight="1">
      <c r="A34" s="21" t="s">
        <v>34</v>
      </c>
      <c r="B34" s="1090" t="s">
        <v>78</v>
      </c>
      <c r="C34" s="1090"/>
      <c r="D34" s="1090"/>
      <c r="E34" s="1090"/>
      <c r="F34" s="1090"/>
      <c r="G34" s="1090"/>
      <c r="H34" s="1090"/>
      <c r="I34" s="1090"/>
      <c r="J34" s="1090"/>
      <c r="K34" s="1090"/>
      <c r="L34" s="1090"/>
      <c r="M34" s="1090"/>
      <c r="N34" s="1090"/>
      <c r="O34" s="1090"/>
      <c r="P34" s="1090"/>
      <c r="Q34" s="1090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919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1072" t="s">
        <v>36</v>
      </c>
      <c r="B36" s="1081" t="s">
        <v>201</v>
      </c>
      <c r="C36" s="919" t="s">
        <v>162</v>
      </c>
      <c r="D36" s="951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886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1073"/>
      <c r="B37" s="1082"/>
      <c r="C37" s="937"/>
      <c r="D37" s="982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886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1073"/>
      <c r="B38" s="1092"/>
      <c r="C38" s="937"/>
      <c r="D38" s="982"/>
      <c r="E38" s="1132">
        <f>SUM(F38:J39)</f>
        <v>163.5</v>
      </c>
      <c r="F38" s="1132">
        <v>0</v>
      </c>
      <c r="G38" s="1132">
        <f>43-43</f>
        <v>0</v>
      </c>
      <c r="H38" s="1132">
        <v>54.5</v>
      </c>
      <c r="I38" s="1132">
        <v>54.5</v>
      </c>
      <c r="J38" s="1132">
        <v>54.5</v>
      </c>
      <c r="K38" s="886"/>
      <c r="L38" s="1130">
        <v>0</v>
      </c>
      <c r="M38" s="1130">
        <v>0</v>
      </c>
      <c r="N38" s="1130">
        <v>100</v>
      </c>
      <c r="O38" s="1130">
        <v>100</v>
      </c>
      <c r="P38" s="1130">
        <v>100</v>
      </c>
      <c r="Q38" s="1120" t="s">
        <v>135</v>
      </c>
    </row>
    <row r="39" spans="1:17" ht="12.75" customHeight="1" thickBot="1">
      <c r="A39" s="1073"/>
      <c r="B39" s="1092"/>
      <c r="C39" s="937"/>
      <c r="D39" s="1137"/>
      <c r="E39" s="1132"/>
      <c r="F39" s="1132"/>
      <c r="G39" s="1132"/>
      <c r="H39" s="1132"/>
      <c r="I39" s="1132"/>
      <c r="J39" s="1132"/>
      <c r="K39" s="952"/>
      <c r="L39" s="1102"/>
      <c r="M39" s="1102"/>
      <c r="N39" s="1102"/>
      <c r="O39" s="1102"/>
      <c r="P39" s="1102"/>
      <c r="Q39" s="1084"/>
    </row>
    <row r="40" spans="1:17" ht="20.25" customHeight="1">
      <c r="A40" s="1128"/>
      <c r="B40" s="1128" t="s">
        <v>48</v>
      </c>
      <c r="C40" s="1128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128"/>
      <c r="L40" s="1128"/>
      <c r="M40" s="1128"/>
      <c r="N40" s="1128"/>
      <c r="O40" s="1128"/>
      <c r="P40" s="1128"/>
      <c r="Q40" s="1128"/>
    </row>
    <row r="41" spans="1:17" ht="15" customHeight="1">
      <c r="A41" s="1129"/>
      <c r="B41" s="1129"/>
      <c r="C41" s="1129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129"/>
      <c r="L41" s="1129"/>
      <c r="M41" s="1129"/>
      <c r="N41" s="1129"/>
      <c r="O41" s="1129"/>
      <c r="P41" s="1129"/>
      <c r="Q41" s="1129"/>
    </row>
    <row r="42" spans="1:17" ht="15" customHeight="1" thickBot="1">
      <c r="A42" s="1129"/>
      <c r="B42" s="1129"/>
      <c r="C42" s="1129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129"/>
      <c r="L42" s="1129"/>
      <c r="M42" s="1129"/>
      <c r="N42" s="1129"/>
      <c r="O42" s="1129"/>
      <c r="P42" s="1129"/>
      <c r="Q42" s="1129"/>
    </row>
    <row r="43" spans="1:17" ht="24" customHeight="1">
      <c r="A43" s="926"/>
      <c r="B43" s="854" t="s">
        <v>13</v>
      </c>
      <c r="C43" s="926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926"/>
      <c r="L43" s="926"/>
      <c r="M43" s="926"/>
      <c r="N43" s="926"/>
      <c r="O43" s="926"/>
      <c r="P43" s="926"/>
      <c r="Q43" s="926"/>
    </row>
    <row r="44" spans="1:17" ht="11.25" customHeight="1">
      <c r="A44" s="1135"/>
      <c r="B44" s="1135"/>
      <c r="C44" s="1135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135"/>
      <c r="L44" s="1135"/>
      <c r="M44" s="1135"/>
      <c r="N44" s="1135"/>
      <c r="O44" s="1135"/>
      <c r="P44" s="1135"/>
      <c r="Q44" s="1135"/>
    </row>
    <row r="45" spans="1:17" ht="11.25" customHeight="1">
      <c r="A45" s="1135"/>
      <c r="B45" s="1135"/>
      <c r="C45" s="1135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135"/>
      <c r="L45" s="1135"/>
      <c r="M45" s="1135"/>
      <c r="N45" s="1135"/>
      <c r="O45" s="1135"/>
      <c r="P45" s="1135"/>
      <c r="Q45" s="1135"/>
    </row>
  </sheetData>
  <sheetProtection/>
  <mergeCells count="120"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K21:K23"/>
    <mergeCell ref="L21:L23"/>
    <mergeCell ref="M21:M23"/>
    <mergeCell ref="N21:N23"/>
    <mergeCell ref="O21:O23"/>
    <mergeCell ref="P21:P23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A40:A42"/>
    <mergeCell ref="K40:K42"/>
    <mergeCell ref="L40:L42"/>
    <mergeCell ref="M40:M42"/>
    <mergeCell ref="N40:N42"/>
    <mergeCell ref="O40:O42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N31:N33"/>
    <mergeCell ref="O17:O18"/>
    <mergeCell ref="P17:P18"/>
    <mergeCell ref="L26:L27"/>
    <mergeCell ref="M26:M27"/>
    <mergeCell ref="N26:N27"/>
    <mergeCell ref="O26:O27"/>
    <mergeCell ref="P26:P2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183" t="s">
        <v>300</v>
      </c>
      <c r="I1" s="1183"/>
      <c r="J1" s="1183"/>
      <c r="K1" s="1183"/>
      <c r="L1" s="1183"/>
      <c r="M1" s="1183"/>
      <c r="N1" s="1183"/>
      <c r="O1" s="1183"/>
      <c r="P1" s="1183"/>
      <c r="Q1" s="1183"/>
    </row>
    <row r="2" spans="1:17" ht="27" customHeight="1">
      <c r="A2" s="1184" t="s">
        <v>159</v>
      </c>
      <c r="B2" s="1184"/>
      <c r="C2" s="1184"/>
      <c r="D2" s="1184"/>
      <c r="E2" s="1184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4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185" t="s">
        <v>16</v>
      </c>
      <c r="B4" s="1186" t="s">
        <v>15</v>
      </c>
      <c r="C4" s="1185" t="s">
        <v>8</v>
      </c>
      <c r="D4" s="1185" t="s">
        <v>9</v>
      </c>
      <c r="E4" s="1152" t="s">
        <v>0</v>
      </c>
      <c r="F4" s="1188"/>
      <c r="G4" s="1188"/>
      <c r="H4" s="1188"/>
      <c r="I4" s="1188"/>
      <c r="J4" s="1189"/>
      <c r="K4" s="1152" t="s">
        <v>17</v>
      </c>
      <c r="L4" s="1188"/>
      <c r="M4" s="1188"/>
      <c r="N4" s="1188"/>
      <c r="O4" s="1188"/>
      <c r="P4" s="1189"/>
      <c r="Q4" s="1186" t="s">
        <v>14</v>
      </c>
    </row>
    <row r="5" spans="1:17" ht="12" customHeight="1">
      <c r="A5" s="1185"/>
      <c r="B5" s="1187"/>
      <c r="C5" s="1185"/>
      <c r="D5" s="1185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87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1043" t="s">
        <v>20</v>
      </c>
      <c r="C7" s="1043"/>
      <c r="D7" s="1043"/>
      <c r="E7" s="1043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</row>
    <row r="8" spans="1:17" ht="21" customHeight="1">
      <c r="A8" s="223">
        <v>1</v>
      </c>
      <c r="B8" s="1067" t="s">
        <v>21</v>
      </c>
      <c r="C8" s="1067"/>
      <c r="D8" s="1067"/>
      <c r="E8" s="1067"/>
      <c r="F8" s="1067"/>
      <c r="G8" s="1067"/>
      <c r="H8" s="1067"/>
      <c r="I8" s="1067"/>
      <c r="J8" s="1067"/>
      <c r="K8" s="1067"/>
      <c r="L8" s="1067"/>
      <c r="M8" s="1067"/>
      <c r="N8" s="1067"/>
      <c r="O8" s="1067"/>
      <c r="P8" s="1067"/>
      <c r="Q8" s="1067"/>
    </row>
    <row r="9" spans="1:17" ht="21" customHeight="1">
      <c r="A9" s="855" t="s">
        <v>19</v>
      </c>
      <c r="B9" s="1161" t="s">
        <v>125</v>
      </c>
      <c r="C9" s="1140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181"/>
      <c r="B10" s="1182"/>
      <c r="C10" s="1182"/>
      <c r="D10" s="1003" t="s">
        <v>6</v>
      </c>
      <c r="E10" s="1010">
        <f>SUM(F10:J11)</f>
        <v>1357.9</v>
      </c>
      <c r="F10" s="1010">
        <v>248.6</v>
      </c>
      <c r="G10" s="1010">
        <v>248.6</v>
      </c>
      <c r="H10" s="1010">
        <f>248.6+29.7</f>
        <v>278.3</v>
      </c>
      <c r="I10" s="1010">
        <f>248.6+42.6</f>
        <v>291.2</v>
      </c>
      <c r="J10" s="1010">
        <f>248.6+42.6</f>
        <v>291.2</v>
      </c>
      <c r="K10" s="422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140" t="s">
        <v>51</v>
      </c>
    </row>
    <row r="11" spans="1:17" s="229" customFormat="1" ht="35.25" customHeight="1">
      <c r="A11" s="1181"/>
      <c r="B11" s="1182"/>
      <c r="C11" s="1182"/>
      <c r="D11" s="1004"/>
      <c r="E11" s="1027"/>
      <c r="F11" s="1027"/>
      <c r="G11" s="1027"/>
      <c r="H11" s="1027"/>
      <c r="I11" s="1027"/>
      <c r="J11" s="1027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140"/>
    </row>
    <row r="12" spans="1:17" s="229" customFormat="1" ht="24" customHeight="1">
      <c r="A12" s="855" t="s">
        <v>22</v>
      </c>
      <c r="B12" s="1161" t="s">
        <v>126</v>
      </c>
      <c r="C12" s="1140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151"/>
      <c r="B13" s="1039"/>
      <c r="C13" s="1151"/>
      <c r="D13" s="1003" t="s">
        <v>5</v>
      </c>
      <c r="E13" s="1010">
        <f>SUM(F13:J16)</f>
        <v>455.3</v>
      </c>
      <c r="F13" s="1010">
        <v>51.3</v>
      </c>
      <c r="G13" s="1010">
        <f>100+4</f>
        <v>104</v>
      </c>
      <c r="H13" s="1010">
        <v>100</v>
      </c>
      <c r="I13" s="1010">
        <v>100</v>
      </c>
      <c r="J13" s="1010">
        <v>100</v>
      </c>
      <c r="K13" s="769" t="s">
        <v>234</v>
      </c>
      <c r="L13" s="775" t="s">
        <v>236</v>
      </c>
      <c r="M13" s="775" t="s">
        <v>236</v>
      </c>
      <c r="N13" s="775" t="s">
        <v>236</v>
      </c>
      <c r="O13" s="775" t="s">
        <v>236</v>
      </c>
      <c r="P13" s="775" t="s">
        <v>236</v>
      </c>
      <c r="Q13" s="758" t="s">
        <v>127</v>
      </c>
    </row>
    <row r="14" spans="1:17" s="229" customFormat="1" ht="6" customHeight="1">
      <c r="A14" s="1151"/>
      <c r="B14" s="1039"/>
      <c r="C14" s="1151"/>
      <c r="D14" s="1004"/>
      <c r="E14" s="1011"/>
      <c r="F14" s="1011"/>
      <c r="G14" s="1011"/>
      <c r="H14" s="1011"/>
      <c r="I14" s="1011"/>
      <c r="J14" s="1011"/>
      <c r="K14" s="771"/>
      <c r="L14" s="852"/>
      <c r="M14" s="852"/>
      <c r="N14" s="852"/>
      <c r="O14" s="852"/>
      <c r="P14" s="852"/>
      <c r="Q14" s="759"/>
    </row>
    <row r="15" spans="1:17" s="229" customFormat="1" ht="6.75" customHeight="1">
      <c r="A15" s="1151"/>
      <c r="B15" s="1039"/>
      <c r="C15" s="1151"/>
      <c r="D15" s="1004"/>
      <c r="E15" s="1011"/>
      <c r="F15" s="1011"/>
      <c r="G15" s="1011"/>
      <c r="H15" s="1011"/>
      <c r="I15" s="1011"/>
      <c r="J15" s="1011"/>
      <c r="K15" s="769" t="s">
        <v>235</v>
      </c>
      <c r="L15" s="775" t="s">
        <v>236</v>
      </c>
      <c r="M15" s="775" t="s">
        <v>236</v>
      </c>
      <c r="N15" s="775" t="s">
        <v>236</v>
      </c>
      <c r="O15" s="775" t="s">
        <v>236</v>
      </c>
      <c r="P15" s="775" t="s">
        <v>236</v>
      </c>
      <c r="Q15" s="759"/>
    </row>
    <row r="16" spans="1:17" s="229" customFormat="1" ht="18" customHeight="1" thickBot="1">
      <c r="A16" s="1151"/>
      <c r="B16" s="1039"/>
      <c r="C16" s="1151"/>
      <c r="D16" s="1004"/>
      <c r="E16" s="1011"/>
      <c r="F16" s="1011"/>
      <c r="G16" s="1011"/>
      <c r="H16" s="1011"/>
      <c r="I16" s="1011"/>
      <c r="J16" s="1011"/>
      <c r="K16" s="771"/>
      <c r="L16" s="852"/>
      <c r="M16" s="852"/>
      <c r="N16" s="852"/>
      <c r="O16" s="852"/>
      <c r="P16" s="852"/>
      <c r="Q16" s="760"/>
    </row>
    <row r="17" spans="1:17" s="233" customFormat="1" ht="12.75" customHeight="1">
      <c r="A17" s="836"/>
      <c r="B17" s="1043" t="s">
        <v>23</v>
      </c>
      <c r="C17" s="811"/>
      <c r="D17" s="232" t="s">
        <v>11</v>
      </c>
      <c r="E17" s="1165">
        <f>SUM(F17:J18)</f>
        <v>1813.2</v>
      </c>
      <c r="F17" s="1165">
        <f>SUM(F19:F20)</f>
        <v>299.9</v>
      </c>
      <c r="G17" s="1165">
        <f>SUM(G19:G20)</f>
        <v>352.6</v>
      </c>
      <c r="H17" s="1165">
        <f>SUM(H19:H20)</f>
        <v>378.3</v>
      </c>
      <c r="I17" s="1165">
        <f>SUM(I19:I20)</f>
        <v>391.2</v>
      </c>
      <c r="J17" s="1163">
        <f>SUM(J19:J20)</f>
        <v>391.2</v>
      </c>
      <c r="K17" s="1146"/>
      <c r="L17" s="836"/>
      <c r="M17" s="836"/>
      <c r="N17" s="836"/>
      <c r="O17" s="836"/>
      <c r="P17" s="836"/>
      <c r="Q17" s="1140"/>
    </row>
    <row r="18" spans="1:17" s="233" customFormat="1" ht="9.75" customHeight="1">
      <c r="A18" s="836"/>
      <c r="B18" s="1043"/>
      <c r="C18" s="811"/>
      <c r="D18" s="234" t="s">
        <v>12</v>
      </c>
      <c r="E18" s="1166"/>
      <c r="F18" s="1166"/>
      <c r="G18" s="1166"/>
      <c r="H18" s="1166"/>
      <c r="I18" s="1166"/>
      <c r="J18" s="1164"/>
      <c r="K18" s="1146"/>
      <c r="L18" s="836"/>
      <c r="M18" s="836"/>
      <c r="N18" s="836"/>
      <c r="O18" s="836"/>
      <c r="P18" s="836"/>
      <c r="Q18" s="1140"/>
    </row>
    <row r="19" spans="1:17" s="233" customFormat="1" ht="13.5" customHeight="1">
      <c r="A19" s="836"/>
      <c r="B19" s="1043"/>
      <c r="C19" s="811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146"/>
      <c r="L19" s="836"/>
      <c r="M19" s="836"/>
      <c r="N19" s="836"/>
      <c r="O19" s="836"/>
      <c r="P19" s="836"/>
      <c r="Q19" s="1140"/>
    </row>
    <row r="20" spans="1:17" s="233" customFormat="1" ht="12.75" customHeight="1" thickBot="1">
      <c r="A20" s="836"/>
      <c r="B20" s="1043"/>
      <c r="C20" s="811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146"/>
      <c r="L20" s="836"/>
      <c r="M20" s="836"/>
      <c r="N20" s="836"/>
      <c r="O20" s="836"/>
      <c r="P20" s="836"/>
      <c r="Q20" s="1140"/>
    </row>
    <row r="21" spans="1:17" s="229" customFormat="1" ht="12" customHeight="1">
      <c r="A21" s="241" t="s">
        <v>24</v>
      </c>
      <c r="B21" s="1157" t="s">
        <v>25</v>
      </c>
      <c r="C21" s="1158"/>
      <c r="D21" s="1159"/>
      <c r="E21" s="1159"/>
      <c r="F21" s="1159"/>
      <c r="G21" s="1159"/>
      <c r="H21" s="1159"/>
      <c r="I21" s="1159"/>
      <c r="J21" s="1159"/>
      <c r="K21" s="1158"/>
      <c r="L21" s="1158"/>
      <c r="M21" s="1158"/>
      <c r="N21" s="1158"/>
      <c r="O21" s="1158"/>
      <c r="P21" s="1158"/>
      <c r="Q21" s="1160"/>
    </row>
    <row r="22" spans="1:17" s="229" customFormat="1" ht="24.75" customHeight="1">
      <c r="A22" s="758" t="s">
        <v>26</v>
      </c>
      <c r="B22" s="1175" t="s">
        <v>27</v>
      </c>
      <c r="C22" s="1140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1026"/>
      <c r="B23" s="1176"/>
      <c r="C23" s="1162"/>
      <c r="D23" s="1003" t="s">
        <v>5</v>
      </c>
      <c r="E23" s="1010">
        <f>SUM(F23:J24)</f>
        <v>50</v>
      </c>
      <c r="F23" s="1010">
        <v>10</v>
      </c>
      <c r="G23" s="1010">
        <v>10</v>
      </c>
      <c r="H23" s="1010">
        <v>10</v>
      </c>
      <c r="I23" s="1010">
        <v>10</v>
      </c>
      <c r="J23" s="1010">
        <v>10</v>
      </c>
      <c r="K23" s="769" t="s">
        <v>238</v>
      </c>
      <c r="L23" s="775" t="s">
        <v>240</v>
      </c>
      <c r="M23" s="775" t="s">
        <v>240</v>
      </c>
      <c r="N23" s="775" t="s">
        <v>240</v>
      </c>
      <c r="O23" s="775" t="s">
        <v>240</v>
      </c>
      <c r="P23" s="775" t="s">
        <v>240</v>
      </c>
      <c r="Q23" s="1140" t="s">
        <v>226</v>
      </c>
    </row>
    <row r="24" spans="1:17" s="229" customFormat="1" ht="5.25" customHeight="1" hidden="1">
      <c r="A24" s="1026"/>
      <c r="B24" s="1176"/>
      <c r="C24" s="1162"/>
      <c r="D24" s="1057"/>
      <c r="E24" s="1027"/>
      <c r="F24" s="1027"/>
      <c r="G24" s="1027"/>
      <c r="H24" s="1027"/>
      <c r="I24" s="1027"/>
      <c r="J24" s="1027"/>
      <c r="K24" s="1022"/>
      <c r="L24" s="1178"/>
      <c r="M24" s="1178"/>
      <c r="N24" s="1178"/>
      <c r="O24" s="1178"/>
      <c r="P24" s="1178"/>
      <c r="Q24" s="1151"/>
    </row>
    <row r="25" spans="1:17" s="229" customFormat="1" ht="0.75" customHeight="1">
      <c r="A25" s="1026"/>
      <c r="B25" s="1176"/>
      <c r="C25" s="1162"/>
      <c r="D25" s="1180" t="s">
        <v>5</v>
      </c>
      <c r="E25" s="1010">
        <f>SUM(F25:J26)</f>
        <v>50</v>
      </c>
      <c r="F25" s="1040">
        <v>10</v>
      </c>
      <c r="G25" s="1040">
        <v>10</v>
      </c>
      <c r="H25" s="1010">
        <v>10</v>
      </c>
      <c r="I25" s="1010">
        <v>10</v>
      </c>
      <c r="J25" s="1010">
        <v>10</v>
      </c>
      <c r="K25" s="990"/>
      <c r="L25" s="1167"/>
      <c r="M25" s="1167"/>
      <c r="N25" s="1167"/>
      <c r="O25" s="1167"/>
      <c r="P25" s="1167"/>
      <c r="Q25" s="1140" t="s">
        <v>225</v>
      </c>
    </row>
    <row r="26" spans="1:17" s="229" customFormat="1" ht="22.5" customHeight="1" thickBot="1">
      <c r="A26" s="996"/>
      <c r="B26" s="1177"/>
      <c r="C26" s="1162"/>
      <c r="D26" s="1003"/>
      <c r="E26" s="1011"/>
      <c r="F26" s="1010"/>
      <c r="G26" s="1010"/>
      <c r="H26" s="1011"/>
      <c r="I26" s="1011"/>
      <c r="J26" s="1011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151"/>
    </row>
    <row r="27" spans="1:17" s="233" customFormat="1" ht="22.5" customHeight="1">
      <c r="A27" s="758"/>
      <c r="B27" s="769" t="s">
        <v>43</v>
      </c>
      <c r="C27" s="1148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170"/>
      <c r="L27" s="1170"/>
      <c r="M27" s="1170"/>
      <c r="N27" s="1170"/>
      <c r="O27" s="1170"/>
      <c r="P27" s="1170"/>
      <c r="Q27" s="1170"/>
    </row>
    <row r="28" spans="1:17" s="233" customFormat="1" ht="12" customHeight="1">
      <c r="A28" s="1026"/>
      <c r="B28" s="1153"/>
      <c r="C28" s="1149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171"/>
      <c r="L28" s="1171"/>
      <c r="M28" s="1171"/>
      <c r="N28" s="1171"/>
      <c r="O28" s="1171"/>
      <c r="P28" s="1171"/>
      <c r="Q28" s="1171"/>
    </row>
    <row r="29" spans="1:17" s="233" customFormat="1" ht="13.5" customHeight="1" thickBot="1">
      <c r="A29" s="996"/>
      <c r="B29" s="1179"/>
      <c r="C29" s="1150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172"/>
      <c r="L29" s="1172"/>
      <c r="M29" s="1172"/>
      <c r="N29" s="1172"/>
      <c r="O29" s="1172"/>
      <c r="P29" s="1172"/>
      <c r="Q29" s="1172"/>
    </row>
    <row r="30" spans="1:17" s="229" customFormat="1" ht="12" customHeight="1">
      <c r="A30" s="250" t="s">
        <v>28</v>
      </c>
      <c r="B30" s="1173" t="s">
        <v>29</v>
      </c>
      <c r="C30" s="1159"/>
      <c r="D30" s="1159"/>
      <c r="E30" s="1159"/>
      <c r="F30" s="1159"/>
      <c r="G30" s="1159"/>
      <c r="H30" s="1159"/>
      <c r="I30" s="1159"/>
      <c r="J30" s="1159"/>
      <c r="K30" s="1159"/>
      <c r="L30" s="1159"/>
      <c r="M30" s="1159"/>
      <c r="N30" s="1159"/>
      <c r="O30" s="1159"/>
      <c r="P30" s="1159"/>
      <c r="Q30" s="1174"/>
    </row>
    <row r="31" spans="1:17" s="229" customFormat="1" ht="21" customHeight="1">
      <c r="A31" s="758" t="s">
        <v>30</v>
      </c>
      <c r="B31" s="1175" t="s">
        <v>128</v>
      </c>
      <c r="C31" s="1140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1168"/>
      <c r="B32" s="1176"/>
      <c r="C32" s="1162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758" t="s">
        <v>135</v>
      </c>
    </row>
    <row r="33" spans="1:17" s="229" customFormat="1" ht="33.75" customHeight="1">
      <c r="A33" s="1169"/>
      <c r="B33" s="1177"/>
      <c r="C33" s="1162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760"/>
    </row>
    <row r="34" spans="1:17" s="229" customFormat="1" ht="23.25" customHeight="1">
      <c r="A34" s="792" t="s">
        <v>31</v>
      </c>
      <c r="B34" s="769" t="s">
        <v>32</v>
      </c>
      <c r="C34" s="758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1168"/>
      <c r="B35" s="1022"/>
      <c r="C35" s="1026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758" t="s">
        <v>135</v>
      </c>
    </row>
    <row r="36" spans="1:17" s="229" customFormat="1" ht="23.25" customHeight="1">
      <c r="A36" s="1169"/>
      <c r="B36" s="990"/>
      <c r="C36" s="996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23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760"/>
    </row>
    <row r="37" spans="1:17" s="229" customFormat="1" ht="22.5" customHeight="1">
      <c r="A37" s="792" t="s">
        <v>143</v>
      </c>
      <c r="B37" s="769" t="s">
        <v>145</v>
      </c>
      <c r="C37" s="758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1005"/>
      <c r="B38" s="1022"/>
      <c r="C38" s="1026"/>
      <c r="D38" s="1003" t="s">
        <v>5</v>
      </c>
      <c r="E38" s="1010">
        <f>SUM(F38:J39)</f>
        <v>14.3</v>
      </c>
      <c r="F38" s="1010">
        <v>14.3</v>
      </c>
      <c r="G38" s="1010">
        <v>0</v>
      </c>
      <c r="H38" s="1010">
        <v>0</v>
      </c>
      <c r="I38" s="1010">
        <v>0</v>
      </c>
      <c r="J38" s="1010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758" t="s">
        <v>144</v>
      </c>
    </row>
    <row r="39" spans="1:17" s="229" customFormat="1" ht="24" customHeight="1">
      <c r="A39" s="995"/>
      <c r="B39" s="990"/>
      <c r="C39" s="996"/>
      <c r="D39" s="1057"/>
      <c r="E39" s="1027"/>
      <c r="F39" s="1027"/>
      <c r="G39" s="1027"/>
      <c r="H39" s="1027"/>
      <c r="I39" s="1027"/>
      <c r="J39" s="1027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760"/>
    </row>
    <row r="40" spans="1:17" s="229" customFormat="1" ht="21.75" customHeight="1">
      <c r="A40" s="792" t="s">
        <v>148</v>
      </c>
      <c r="B40" s="769" t="s">
        <v>149</v>
      </c>
      <c r="C40" s="758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769" t="s">
        <v>244</v>
      </c>
      <c r="L40" s="775" t="s">
        <v>236</v>
      </c>
      <c r="M40" s="775">
        <v>0</v>
      </c>
      <c r="N40" s="775">
        <v>0</v>
      </c>
      <c r="O40" s="775">
        <v>0</v>
      </c>
      <c r="P40" s="775">
        <v>0</v>
      </c>
      <c r="Q40" s="758" t="s">
        <v>135</v>
      </c>
    </row>
    <row r="41" spans="1:17" s="229" customFormat="1" ht="2.25" customHeight="1" hidden="1">
      <c r="A41" s="1005"/>
      <c r="B41" s="1022"/>
      <c r="C41" s="1026"/>
      <c r="D41" s="1003" t="s">
        <v>5</v>
      </c>
      <c r="E41" s="1010">
        <f>SUM(F41:J42)</f>
        <v>25</v>
      </c>
      <c r="F41" s="1010">
        <v>25</v>
      </c>
      <c r="G41" s="1010">
        <v>0</v>
      </c>
      <c r="H41" s="1010">
        <v>0</v>
      </c>
      <c r="I41" s="1010">
        <v>0</v>
      </c>
      <c r="J41" s="1010">
        <v>0</v>
      </c>
      <c r="K41" s="990"/>
      <c r="L41" s="1167"/>
      <c r="M41" s="1167"/>
      <c r="N41" s="1167"/>
      <c r="O41" s="1167"/>
      <c r="P41" s="1167"/>
      <c r="Q41" s="1026"/>
    </row>
    <row r="42" spans="1:17" s="229" customFormat="1" ht="39" customHeight="1" thickBot="1">
      <c r="A42" s="995"/>
      <c r="B42" s="990"/>
      <c r="C42" s="996"/>
      <c r="D42" s="1004"/>
      <c r="E42" s="1011"/>
      <c r="F42" s="1011"/>
      <c r="G42" s="1011"/>
      <c r="H42" s="1011"/>
      <c r="I42" s="1011"/>
      <c r="J42" s="1011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996"/>
    </row>
    <row r="43" spans="1:17" s="233" customFormat="1" ht="12" customHeight="1">
      <c r="A43" s="836"/>
      <c r="B43" s="1043" t="s">
        <v>33</v>
      </c>
      <c r="C43" s="811"/>
      <c r="D43" s="232" t="s">
        <v>11</v>
      </c>
      <c r="E43" s="1165">
        <f>F43+G43+H43+I43+J43</f>
        <v>1874.0000000000002</v>
      </c>
      <c r="F43" s="1165">
        <f>SUM(F45:F46)</f>
        <v>507.3</v>
      </c>
      <c r="G43" s="1165">
        <f>SUM(G45:G46)</f>
        <v>352.1</v>
      </c>
      <c r="H43" s="1165">
        <f>SUM(H45:H46)</f>
        <v>338.2</v>
      </c>
      <c r="I43" s="1165">
        <f>SUM(I45:I46)</f>
        <v>338.2</v>
      </c>
      <c r="J43" s="1163">
        <f>SUM(J45:J46)</f>
        <v>338.2</v>
      </c>
      <c r="K43" s="1146"/>
      <c r="L43" s="836"/>
      <c r="M43" s="836"/>
      <c r="N43" s="836"/>
      <c r="O43" s="836"/>
      <c r="P43" s="836"/>
      <c r="Q43" s="1140"/>
    </row>
    <row r="44" spans="1:17" s="233" customFormat="1" ht="13.5" customHeight="1">
      <c r="A44" s="836"/>
      <c r="B44" s="1043"/>
      <c r="C44" s="811"/>
      <c r="D44" s="234" t="s">
        <v>12</v>
      </c>
      <c r="E44" s="1166"/>
      <c r="F44" s="1166"/>
      <c r="G44" s="1166"/>
      <c r="H44" s="1166"/>
      <c r="I44" s="1166"/>
      <c r="J44" s="1164"/>
      <c r="K44" s="1146"/>
      <c r="L44" s="836"/>
      <c r="M44" s="836"/>
      <c r="N44" s="836"/>
      <c r="O44" s="836"/>
      <c r="P44" s="836"/>
      <c r="Q44" s="1140"/>
    </row>
    <row r="45" spans="1:17" s="233" customFormat="1" ht="11.25" customHeight="1">
      <c r="A45" s="836"/>
      <c r="B45" s="1043"/>
      <c r="C45" s="811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146"/>
      <c r="L45" s="836"/>
      <c r="M45" s="836"/>
      <c r="N45" s="836"/>
      <c r="O45" s="836"/>
      <c r="P45" s="836"/>
      <c r="Q45" s="1140"/>
    </row>
    <row r="46" spans="1:17" s="233" customFormat="1" ht="14.25" customHeight="1" thickBot="1">
      <c r="A46" s="836"/>
      <c r="B46" s="1043"/>
      <c r="C46" s="811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146"/>
      <c r="L46" s="836"/>
      <c r="M46" s="836"/>
      <c r="N46" s="836"/>
      <c r="O46" s="836"/>
      <c r="P46" s="836"/>
      <c r="Q46" s="1140"/>
    </row>
    <row r="47" spans="1:17" s="229" customFormat="1" ht="12.75" customHeight="1">
      <c r="A47" s="260" t="s">
        <v>34</v>
      </c>
      <c r="B47" s="1157" t="s">
        <v>35</v>
      </c>
      <c r="C47" s="1158"/>
      <c r="D47" s="1159"/>
      <c r="E47" s="1159"/>
      <c r="F47" s="1159"/>
      <c r="G47" s="1159"/>
      <c r="H47" s="1159"/>
      <c r="I47" s="1159"/>
      <c r="J47" s="1159"/>
      <c r="K47" s="1158"/>
      <c r="L47" s="1158"/>
      <c r="M47" s="1158"/>
      <c r="N47" s="1158"/>
      <c r="O47" s="1158"/>
      <c r="P47" s="1158"/>
      <c r="Q47" s="1160"/>
    </row>
    <row r="48" spans="1:17" s="229" customFormat="1" ht="23.25" customHeight="1">
      <c r="A48" s="800" t="s">
        <v>36</v>
      </c>
      <c r="B48" s="1161" t="s">
        <v>37</v>
      </c>
      <c r="C48" s="1140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994"/>
      <c r="B49" s="1039"/>
      <c r="C49" s="1162"/>
      <c r="D49" s="1003" t="s">
        <v>5</v>
      </c>
      <c r="E49" s="1010">
        <f>SUM(F49:J50)</f>
        <v>313.1</v>
      </c>
      <c r="F49" s="1010">
        <f>71.1-28+156.9-15.6</f>
        <v>184.4</v>
      </c>
      <c r="G49" s="1010">
        <f>160-31.3</f>
        <v>128.7</v>
      </c>
      <c r="H49" s="1010">
        <v>0</v>
      </c>
      <c r="I49" s="1010">
        <v>0</v>
      </c>
      <c r="J49" s="1010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758" t="s">
        <v>146</v>
      </c>
    </row>
    <row r="50" spans="1:17" s="229" customFormat="1" ht="21.75" customHeight="1" thickBot="1">
      <c r="A50" s="994"/>
      <c r="B50" s="1039"/>
      <c r="C50" s="1162"/>
      <c r="D50" s="1004"/>
      <c r="E50" s="1011"/>
      <c r="F50" s="1011"/>
      <c r="G50" s="1011"/>
      <c r="H50" s="1011"/>
      <c r="I50" s="1011"/>
      <c r="J50" s="1011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760"/>
    </row>
    <row r="51" spans="1:17" s="229" customFormat="1" ht="23.25" customHeight="1">
      <c r="A51" s="792"/>
      <c r="B51" s="769" t="s">
        <v>48</v>
      </c>
      <c r="C51" s="1148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154"/>
      <c r="L51" s="1148"/>
      <c r="M51" s="1148"/>
      <c r="N51" s="1148"/>
      <c r="O51" s="1148"/>
      <c r="P51" s="1148"/>
      <c r="Q51" s="1140"/>
    </row>
    <row r="52" spans="1:17" s="229" customFormat="1" ht="12.75" customHeight="1">
      <c r="A52" s="1005"/>
      <c r="B52" s="1153"/>
      <c r="C52" s="1149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155"/>
      <c r="L52" s="1149"/>
      <c r="M52" s="1149"/>
      <c r="N52" s="1149"/>
      <c r="O52" s="1149"/>
      <c r="P52" s="1149"/>
      <c r="Q52" s="1151"/>
    </row>
    <row r="53" spans="1:17" s="229" customFormat="1" ht="18" customHeight="1" thickBot="1">
      <c r="A53" s="1005"/>
      <c r="B53" s="1153"/>
      <c r="C53" s="1149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156"/>
      <c r="L53" s="1150"/>
      <c r="M53" s="1150"/>
      <c r="N53" s="1150"/>
      <c r="O53" s="1150"/>
      <c r="P53" s="1150"/>
      <c r="Q53" s="1151"/>
    </row>
    <row r="54" spans="1:17" s="233" customFormat="1" ht="9.75" customHeight="1">
      <c r="A54" s="836"/>
      <c r="B54" s="1043" t="s">
        <v>13</v>
      </c>
      <c r="C54" s="1152"/>
      <c r="D54" s="232" t="s">
        <v>11</v>
      </c>
      <c r="E54" s="1141">
        <f>SUM(F54:J54)</f>
        <v>4100.3</v>
      </c>
      <c r="F54" s="1141">
        <f>SUM(F56:F57)</f>
        <v>1011.5999999999999</v>
      </c>
      <c r="G54" s="1141">
        <f>SUM(G56:G57)</f>
        <v>853.4</v>
      </c>
      <c r="H54" s="1141">
        <f>SUM(H56:H57)</f>
        <v>736.5</v>
      </c>
      <c r="I54" s="1141">
        <f>SUM(I56:I57)</f>
        <v>749.4</v>
      </c>
      <c r="J54" s="1143">
        <f>SUM(J56:J57)</f>
        <v>749.4</v>
      </c>
      <c r="K54" s="1145"/>
      <c r="L54" s="835"/>
      <c r="M54" s="835"/>
      <c r="N54" s="835"/>
      <c r="O54" s="835"/>
      <c r="P54" s="835"/>
      <c r="Q54" s="760"/>
    </row>
    <row r="55" spans="1:17" s="233" customFormat="1" ht="13.5" customHeight="1">
      <c r="A55" s="836"/>
      <c r="B55" s="1043"/>
      <c r="C55" s="1152"/>
      <c r="D55" s="234" t="s">
        <v>12</v>
      </c>
      <c r="E55" s="1142"/>
      <c r="F55" s="1142"/>
      <c r="G55" s="1142"/>
      <c r="H55" s="1142"/>
      <c r="I55" s="1142"/>
      <c r="J55" s="1144"/>
      <c r="K55" s="1146"/>
      <c r="L55" s="836"/>
      <c r="M55" s="836"/>
      <c r="N55" s="836"/>
      <c r="O55" s="836"/>
      <c r="P55" s="836"/>
      <c r="Q55" s="1140"/>
    </row>
    <row r="56" spans="1:17" s="233" customFormat="1" ht="15" customHeight="1">
      <c r="A56" s="836"/>
      <c r="B56" s="1043"/>
      <c r="C56" s="1152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146"/>
      <c r="L56" s="836"/>
      <c r="M56" s="836"/>
      <c r="N56" s="836"/>
      <c r="O56" s="836"/>
      <c r="P56" s="836"/>
      <c r="Q56" s="1140"/>
    </row>
    <row r="57" spans="1:17" s="233" customFormat="1" ht="13.5" customHeight="1" thickBot="1">
      <c r="A57" s="836"/>
      <c r="B57" s="1043"/>
      <c r="C57" s="1152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147"/>
      <c r="L57" s="991"/>
      <c r="M57" s="991"/>
      <c r="N57" s="991"/>
      <c r="O57" s="991"/>
      <c r="P57" s="991"/>
      <c r="Q57" s="758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H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H13:H16"/>
    <mergeCell ref="I13:I16"/>
    <mergeCell ref="J13:J16"/>
    <mergeCell ref="K13:K14"/>
    <mergeCell ref="L13:L14"/>
    <mergeCell ref="M13:M14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A17:A20"/>
    <mergeCell ref="B17:B20"/>
    <mergeCell ref="C17:C20"/>
    <mergeCell ref="E17:E18"/>
    <mergeCell ref="F17:F18"/>
    <mergeCell ref="G17:G18"/>
    <mergeCell ref="H17:H18"/>
    <mergeCell ref="I17:I18"/>
    <mergeCell ref="J17:J18"/>
    <mergeCell ref="K17:K20"/>
    <mergeCell ref="L17:L20"/>
    <mergeCell ref="M17:M20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G25:G26"/>
    <mergeCell ref="H25:H26"/>
    <mergeCell ref="N27:N29"/>
    <mergeCell ref="L23:L25"/>
    <mergeCell ref="M23:M25"/>
    <mergeCell ref="N23:N25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J43:J44"/>
    <mergeCell ref="K43:K46"/>
    <mergeCell ref="L43:L46"/>
    <mergeCell ref="M43:M46"/>
    <mergeCell ref="N43:N46"/>
    <mergeCell ref="O43:O46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8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840" t="s">
        <v>301</v>
      </c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59"/>
    </row>
    <row r="2" spans="1:17" ht="25.5" customHeight="1">
      <c r="A2" s="841" t="s">
        <v>202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842" t="s">
        <v>16</v>
      </c>
      <c r="B4" s="843" t="s">
        <v>15</v>
      </c>
      <c r="C4" s="842" t="s">
        <v>164</v>
      </c>
      <c r="D4" s="842" t="s">
        <v>165</v>
      </c>
      <c r="E4" s="847" t="s">
        <v>0</v>
      </c>
      <c r="F4" s="848"/>
      <c r="G4" s="848"/>
      <c r="H4" s="848"/>
      <c r="I4" s="848"/>
      <c r="J4" s="849"/>
      <c r="K4" s="847" t="s">
        <v>17</v>
      </c>
      <c r="L4" s="848"/>
      <c r="M4" s="848"/>
      <c r="N4" s="848"/>
      <c r="O4" s="848"/>
      <c r="P4" s="849"/>
      <c r="Q4" s="843" t="s">
        <v>14</v>
      </c>
    </row>
    <row r="5" spans="1:17" ht="12" customHeight="1">
      <c r="A5" s="842"/>
      <c r="B5" s="844"/>
      <c r="C5" s="842"/>
      <c r="D5" s="842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844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854" t="s">
        <v>195</v>
      </c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</row>
    <row r="8" spans="1:18" ht="34.5" customHeight="1">
      <c r="A8" s="20" t="s">
        <v>72</v>
      </c>
      <c r="B8" s="1207" t="s">
        <v>192</v>
      </c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210" t="s">
        <v>169</v>
      </c>
      <c r="B10" s="1214" t="s">
        <v>168</v>
      </c>
      <c r="C10" s="1056" t="s">
        <v>175</v>
      </c>
      <c r="D10" s="951" t="s">
        <v>180</v>
      </c>
      <c r="E10" s="917">
        <v>80</v>
      </c>
      <c r="F10" s="917">
        <v>16</v>
      </c>
      <c r="G10" s="917">
        <v>16</v>
      </c>
      <c r="H10" s="917">
        <v>16</v>
      </c>
      <c r="I10" s="917">
        <v>16</v>
      </c>
      <c r="J10" s="917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837" t="s">
        <v>172</v>
      </c>
      <c r="R10" s="1" t="s">
        <v>299</v>
      </c>
    </row>
    <row r="11" spans="1:17" ht="36" customHeight="1">
      <c r="A11" s="1212"/>
      <c r="B11" s="1215"/>
      <c r="C11" s="1056"/>
      <c r="D11" s="1075"/>
      <c r="E11" s="918"/>
      <c r="F11" s="918"/>
      <c r="G11" s="918"/>
      <c r="H11" s="918"/>
      <c r="I11" s="918"/>
      <c r="J11" s="918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983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904" t="s">
        <v>40</v>
      </c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6"/>
    </row>
    <row r="15" spans="1:18" ht="10.5" customHeight="1">
      <c r="A15" s="1210" t="s">
        <v>26</v>
      </c>
      <c r="B15" s="883" t="s">
        <v>184</v>
      </c>
      <c r="C15" s="882" t="s">
        <v>177</v>
      </c>
      <c r="D15" s="1120" t="s">
        <v>179</v>
      </c>
      <c r="E15" s="917">
        <v>35</v>
      </c>
      <c r="F15" s="917">
        <v>7</v>
      </c>
      <c r="G15" s="917">
        <v>7</v>
      </c>
      <c r="H15" s="917">
        <v>7</v>
      </c>
      <c r="I15" s="917">
        <v>7</v>
      </c>
      <c r="J15" s="917">
        <v>7</v>
      </c>
      <c r="K15" s="883" t="s">
        <v>183</v>
      </c>
      <c r="L15" s="1204">
        <v>4</v>
      </c>
      <c r="M15" s="1204">
        <v>5</v>
      </c>
      <c r="N15" s="1204">
        <v>6</v>
      </c>
      <c r="O15" s="1204">
        <v>7</v>
      </c>
      <c r="P15" s="1204">
        <v>8</v>
      </c>
      <c r="Q15" s="837" t="s">
        <v>182</v>
      </c>
      <c r="R15" s="1" t="s">
        <v>298</v>
      </c>
    </row>
    <row r="16" spans="1:17" ht="16.5" customHeight="1">
      <c r="A16" s="1211"/>
      <c r="B16" s="956"/>
      <c r="C16" s="796"/>
      <c r="D16" s="1083"/>
      <c r="E16" s="920"/>
      <c r="F16" s="920"/>
      <c r="G16" s="920"/>
      <c r="H16" s="920"/>
      <c r="I16" s="920"/>
      <c r="J16" s="920"/>
      <c r="K16" s="956"/>
      <c r="L16" s="1205"/>
      <c r="M16" s="1205"/>
      <c r="N16" s="1205"/>
      <c r="O16" s="1205"/>
      <c r="P16" s="1205"/>
      <c r="Q16" s="838"/>
    </row>
    <row r="17" spans="1:17" ht="11.25" customHeight="1">
      <c r="A17" s="1211"/>
      <c r="B17" s="956"/>
      <c r="C17" s="796"/>
      <c r="D17" s="1083"/>
      <c r="E17" s="920"/>
      <c r="F17" s="920"/>
      <c r="G17" s="920"/>
      <c r="H17" s="920"/>
      <c r="I17" s="920"/>
      <c r="J17" s="920"/>
      <c r="K17" s="1213"/>
      <c r="L17" s="1206"/>
      <c r="M17" s="1206"/>
      <c r="N17" s="1206"/>
      <c r="O17" s="1206"/>
      <c r="P17" s="1206"/>
      <c r="Q17" s="838"/>
    </row>
    <row r="18" spans="1:17" ht="40.5">
      <c r="A18" s="1212"/>
      <c r="B18" s="1213"/>
      <c r="C18" s="797"/>
      <c r="D18" s="1084"/>
      <c r="E18" s="918"/>
      <c r="F18" s="918"/>
      <c r="G18" s="918"/>
      <c r="H18" s="918"/>
      <c r="I18" s="918"/>
      <c r="J18" s="918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983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926"/>
      <c r="B20" s="854" t="s">
        <v>197</v>
      </c>
      <c r="C20" s="927"/>
      <c r="D20" s="1208"/>
      <c r="E20" s="1202">
        <f>SUM(F20:J21)</f>
        <v>73</v>
      </c>
      <c r="F20" s="1202">
        <f>SUM(F15:F19)</f>
        <v>25</v>
      </c>
      <c r="G20" s="1202">
        <v>12</v>
      </c>
      <c r="H20" s="1200">
        <v>12</v>
      </c>
      <c r="I20" s="1200">
        <v>12</v>
      </c>
      <c r="J20" s="1200">
        <v>12</v>
      </c>
      <c r="K20" s="1115"/>
      <c r="L20" s="926"/>
      <c r="M20" s="926"/>
      <c r="N20" s="926"/>
      <c r="O20" s="926"/>
      <c r="P20" s="926"/>
      <c r="Q20" s="926"/>
    </row>
    <row r="21" spans="1:17" ht="8.25" customHeight="1" thickBot="1">
      <c r="A21" s="926"/>
      <c r="B21" s="854"/>
      <c r="C21" s="927"/>
      <c r="D21" s="1209"/>
      <c r="E21" s="1203"/>
      <c r="F21" s="1203"/>
      <c r="G21" s="1203"/>
      <c r="H21" s="1201"/>
      <c r="I21" s="1201"/>
      <c r="J21" s="1201"/>
      <c r="K21" s="1115"/>
      <c r="L21" s="926"/>
      <c r="M21" s="926"/>
      <c r="N21" s="926"/>
      <c r="O21" s="926"/>
      <c r="P21" s="926"/>
      <c r="Q21" s="926"/>
    </row>
    <row r="22" spans="1:17" ht="15" customHeight="1">
      <c r="A22" s="927"/>
      <c r="B22" s="1190" t="s">
        <v>196</v>
      </c>
      <c r="C22" s="1192"/>
      <c r="D22" s="18" t="s">
        <v>11</v>
      </c>
      <c r="E22" s="1194">
        <f>SUM(F22:J23)</f>
        <v>343</v>
      </c>
      <c r="F22" s="1196">
        <v>75</v>
      </c>
      <c r="G22" s="1194">
        <v>67</v>
      </c>
      <c r="H22" s="1198">
        <v>67</v>
      </c>
      <c r="I22" s="1198">
        <v>67</v>
      </c>
      <c r="J22" s="1198">
        <v>67</v>
      </c>
      <c r="K22" s="1115"/>
      <c r="L22" s="926"/>
      <c r="M22" s="926"/>
      <c r="N22" s="926"/>
      <c r="O22" s="926"/>
      <c r="P22" s="926"/>
      <c r="Q22" s="926"/>
    </row>
    <row r="23" spans="1:17" ht="21.75" customHeight="1" thickBot="1">
      <c r="A23" s="927"/>
      <c r="B23" s="1191"/>
      <c r="C23" s="1193"/>
      <c r="D23" s="19" t="s">
        <v>75</v>
      </c>
      <c r="E23" s="1195"/>
      <c r="F23" s="1197"/>
      <c r="G23" s="1195"/>
      <c r="H23" s="1199"/>
      <c r="I23" s="1199"/>
      <c r="J23" s="1199"/>
      <c r="K23" s="1115"/>
      <c r="L23" s="926"/>
      <c r="M23" s="926"/>
      <c r="N23" s="926"/>
      <c r="O23" s="926"/>
      <c r="P23" s="926"/>
      <c r="Q23" s="926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I10:I11"/>
    <mergeCell ref="J10:J11"/>
    <mergeCell ref="Q10:Q11"/>
    <mergeCell ref="B10:B11"/>
    <mergeCell ref="C10:C11"/>
    <mergeCell ref="D10:D11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A20:A21"/>
    <mergeCell ref="B20:B21"/>
    <mergeCell ref="C20:C21"/>
    <mergeCell ref="E20:E21"/>
    <mergeCell ref="F20:F21"/>
    <mergeCell ref="E15:E18"/>
    <mergeCell ref="D15:D18"/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zoomScale="85" zoomScaleNormal="85" zoomScaleSheetLayoutView="100" workbookViewId="0" topLeftCell="A1">
      <pane ySplit="8" topLeftCell="A9" activePane="bottomLeft" state="frozen"/>
      <selection pane="topLeft" activeCell="R2" sqref="R2"/>
      <selection pane="bottomLeft" activeCell="K19" sqref="J18:K21"/>
    </sheetView>
  </sheetViews>
  <sheetFormatPr defaultColWidth="19.57421875" defaultRowHeight="18.75" customHeight="1"/>
  <cols>
    <col min="1" max="1" width="4.421875" style="340" customWidth="1"/>
    <col min="2" max="2" width="19.57421875" style="339" customWidth="1"/>
    <col min="3" max="3" width="6.00390625" style="415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840" t="s">
        <v>500</v>
      </c>
      <c r="M1" s="840"/>
      <c r="N1" s="840"/>
      <c r="O1" s="840"/>
      <c r="P1" s="840"/>
      <c r="Q1" s="840"/>
      <c r="R1" s="840"/>
      <c r="S1" s="840"/>
    </row>
    <row r="2" spans="8:19" ht="28.5" customHeight="1">
      <c r="H2" s="1"/>
      <c r="I2" s="414"/>
      <c r="J2" s="414"/>
      <c r="K2" s="846" t="s">
        <v>426</v>
      </c>
      <c r="L2" s="846"/>
      <c r="M2" s="846"/>
      <c r="N2" s="846"/>
      <c r="O2" s="846"/>
      <c r="P2" s="846"/>
      <c r="Q2" s="846"/>
      <c r="R2" s="846"/>
      <c r="S2" s="846"/>
    </row>
    <row r="3" spans="8:19" ht="13.5" customHeight="1">
      <c r="H3" s="468"/>
      <c r="I3" s="468"/>
      <c r="J3" s="468"/>
      <c r="K3" s="468"/>
      <c r="L3" s="1228" t="s">
        <v>487</v>
      </c>
      <c r="M3" s="1228"/>
      <c r="N3" s="1228"/>
      <c r="O3" s="1228"/>
      <c r="P3" s="1228"/>
      <c r="Q3" s="1228"/>
      <c r="R3" s="1228"/>
      <c r="S3" s="1228"/>
    </row>
    <row r="4" spans="1:19" ht="42.75" customHeight="1">
      <c r="A4" s="1247" t="s">
        <v>454</v>
      </c>
      <c r="B4" s="1247"/>
      <c r="C4" s="1247"/>
      <c r="D4" s="1247"/>
      <c r="E4" s="1247"/>
      <c r="F4" s="1247"/>
      <c r="G4" s="1247"/>
      <c r="H4" s="1247"/>
      <c r="I4" s="1247"/>
      <c r="J4" s="1247"/>
      <c r="K4" s="1247"/>
      <c r="L4" s="1247"/>
      <c r="M4" s="1247"/>
      <c r="N4" s="1247"/>
      <c r="O4" s="1247"/>
      <c r="P4" s="1247"/>
      <c r="Q4" s="1247"/>
      <c r="R4" s="1247"/>
      <c r="S4" s="1247"/>
    </row>
    <row r="5" ht="11.25" customHeight="1">
      <c r="S5" s="12"/>
    </row>
    <row r="6" spans="1:19" s="42" customFormat="1" ht="40.5" customHeight="1">
      <c r="A6" s="842" t="s">
        <v>16</v>
      </c>
      <c r="B6" s="843" t="s">
        <v>15</v>
      </c>
      <c r="C6" s="842" t="s">
        <v>8</v>
      </c>
      <c r="D6" s="842" t="s">
        <v>9</v>
      </c>
      <c r="E6" s="847" t="s">
        <v>405</v>
      </c>
      <c r="F6" s="848"/>
      <c r="G6" s="848"/>
      <c r="H6" s="848"/>
      <c r="I6" s="848"/>
      <c r="J6" s="848"/>
      <c r="K6" s="849"/>
      <c r="L6" s="847" t="s">
        <v>17</v>
      </c>
      <c r="M6" s="848"/>
      <c r="N6" s="848"/>
      <c r="O6" s="848"/>
      <c r="P6" s="848"/>
      <c r="Q6" s="848"/>
      <c r="R6" s="849"/>
      <c r="S6" s="843" t="s">
        <v>14</v>
      </c>
    </row>
    <row r="7" spans="1:19" ht="15.75" customHeight="1">
      <c r="A7" s="842"/>
      <c r="B7" s="844"/>
      <c r="C7" s="842"/>
      <c r="D7" s="842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467</v>
      </c>
      <c r="K7" s="75" t="s">
        <v>468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844"/>
    </row>
    <row r="8" spans="1:19" ht="10.5" customHeight="1">
      <c r="A8" s="600">
        <v>1</v>
      </c>
      <c r="B8" s="600">
        <v>2</v>
      </c>
      <c r="C8" s="600">
        <v>3</v>
      </c>
      <c r="D8" s="600">
        <v>4</v>
      </c>
      <c r="E8" s="600">
        <v>5</v>
      </c>
      <c r="F8" s="600">
        <v>6</v>
      </c>
      <c r="G8" s="600">
        <v>7</v>
      </c>
      <c r="H8" s="600">
        <v>8</v>
      </c>
      <c r="I8" s="600">
        <v>9</v>
      </c>
      <c r="J8" s="600">
        <v>10</v>
      </c>
      <c r="K8" s="600">
        <v>11</v>
      </c>
      <c r="L8" s="600">
        <v>12</v>
      </c>
      <c r="M8" s="600">
        <v>13</v>
      </c>
      <c r="N8" s="600">
        <v>14</v>
      </c>
      <c r="O8" s="600">
        <v>15</v>
      </c>
      <c r="P8" s="600">
        <v>16</v>
      </c>
      <c r="Q8" s="600">
        <v>17</v>
      </c>
      <c r="R8" s="600">
        <v>18</v>
      </c>
      <c r="S8" s="600">
        <v>19</v>
      </c>
    </row>
    <row r="9" spans="1:19" ht="13.5" customHeight="1">
      <c r="A9" s="604"/>
      <c r="B9" s="970" t="s">
        <v>308</v>
      </c>
      <c r="C9" s="970"/>
      <c r="D9" s="970"/>
      <c r="E9" s="970"/>
      <c r="F9" s="970"/>
      <c r="G9" s="970"/>
      <c r="H9" s="970"/>
      <c r="I9" s="970"/>
      <c r="J9" s="970"/>
      <c r="K9" s="970"/>
      <c r="L9" s="970"/>
      <c r="M9" s="970"/>
      <c r="N9" s="970"/>
      <c r="O9" s="970"/>
      <c r="P9" s="970"/>
      <c r="Q9" s="970"/>
      <c r="R9" s="970"/>
      <c r="S9" s="970"/>
    </row>
    <row r="10" spans="1:19" ht="16.5" customHeight="1">
      <c r="A10" s="33" t="s">
        <v>72</v>
      </c>
      <c r="B10" s="1225" t="s">
        <v>450</v>
      </c>
      <c r="C10" s="1225"/>
      <c r="D10" s="1226"/>
      <c r="E10" s="1226"/>
      <c r="F10" s="1226"/>
      <c r="G10" s="1226"/>
      <c r="H10" s="1226"/>
      <c r="I10" s="1226"/>
      <c r="J10" s="1226"/>
      <c r="K10" s="1226"/>
      <c r="L10" s="1225"/>
      <c r="M10" s="1225"/>
      <c r="N10" s="1225"/>
      <c r="O10" s="1225"/>
      <c r="P10" s="1225"/>
      <c r="Q10" s="1225"/>
      <c r="R10" s="1225"/>
      <c r="S10" s="1227"/>
    </row>
    <row r="11" spans="1:19" ht="26.25" customHeight="1">
      <c r="A11" s="1245" t="s">
        <v>10</v>
      </c>
      <c r="B11" s="1246" t="s">
        <v>406</v>
      </c>
      <c r="C11" s="1240" t="s">
        <v>472</v>
      </c>
      <c r="D11" s="451" t="s">
        <v>456</v>
      </c>
      <c r="E11" s="448">
        <f>F11+G11+H11+I11+J11+K11</f>
        <v>58330.90000000001</v>
      </c>
      <c r="F11" s="448">
        <f aca="true" t="shared" si="0" ref="F11:K11">F12</f>
        <v>8640.8</v>
      </c>
      <c r="G11" s="448">
        <f t="shared" si="0"/>
        <v>9309.77</v>
      </c>
      <c r="H11" s="448">
        <f t="shared" si="0"/>
        <v>9712.76</v>
      </c>
      <c r="I11" s="448">
        <f t="shared" si="0"/>
        <v>10321.53</v>
      </c>
      <c r="J11" s="448">
        <f t="shared" si="0"/>
        <v>10138.02</v>
      </c>
      <c r="K11" s="448">
        <f t="shared" si="0"/>
        <v>10208.02</v>
      </c>
      <c r="L11" s="452" t="s">
        <v>415</v>
      </c>
      <c r="M11" s="625">
        <v>95</v>
      </c>
      <c r="N11" s="625">
        <v>95</v>
      </c>
      <c r="O11" s="625">
        <v>95</v>
      </c>
      <c r="P11" s="625">
        <v>95</v>
      </c>
      <c r="Q11" s="625">
        <v>95</v>
      </c>
      <c r="R11" s="625">
        <v>95</v>
      </c>
      <c r="S11" s="882" t="s">
        <v>455</v>
      </c>
    </row>
    <row r="12" spans="1:19" ht="16.5" customHeight="1">
      <c r="A12" s="1229"/>
      <c r="B12" s="1230"/>
      <c r="C12" s="1240"/>
      <c r="D12" s="632" t="s">
        <v>5</v>
      </c>
      <c r="E12" s="474">
        <f>F12+G12+H12+I12+J12+K12</f>
        <v>58330.90000000001</v>
      </c>
      <c r="F12" s="458">
        <v>8640.8</v>
      </c>
      <c r="G12" s="449">
        <f>9256.27+101.14-47.64</f>
        <v>9309.77</v>
      </c>
      <c r="H12" s="449">
        <v>9712.76</v>
      </c>
      <c r="I12" s="449">
        <v>10321.53</v>
      </c>
      <c r="J12" s="449">
        <v>10138.02</v>
      </c>
      <c r="K12" s="449">
        <v>10208.02</v>
      </c>
      <c r="L12" s="452" t="s">
        <v>413</v>
      </c>
      <c r="M12" s="625">
        <v>100</v>
      </c>
      <c r="N12" s="625">
        <v>100</v>
      </c>
      <c r="O12" s="625">
        <v>100</v>
      </c>
      <c r="P12" s="625">
        <v>100</v>
      </c>
      <c r="Q12" s="625">
        <v>100</v>
      </c>
      <c r="R12" s="625">
        <v>100</v>
      </c>
      <c r="S12" s="796"/>
    </row>
    <row r="13" spans="1:19" ht="24.75" customHeight="1">
      <c r="A13" s="1229"/>
      <c r="B13" s="1230"/>
      <c r="C13" s="1240"/>
      <c r="D13" s="453" t="s">
        <v>6</v>
      </c>
      <c r="E13" s="474">
        <f>F13+G13+H13+I13</f>
        <v>0</v>
      </c>
      <c r="F13" s="458">
        <v>0</v>
      </c>
      <c r="G13" s="449">
        <v>0</v>
      </c>
      <c r="H13" s="449">
        <v>0</v>
      </c>
      <c r="I13" s="458">
        <v>0</v>
      </c>
      <c r="J13" s="458">
        <v>0</v>
      </c>
      <c r="K13" s="458">
        <v>0</v>
      </c>
      <c r="L13" s="456" t="s">
        <v>414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796"/>
    </row>
    <row r="14" spans="1:19" ht="25.5" customHeight="1">
      <c r="A14" s="1229"/>
      <c r="B14" s="1230"/>
      <c r="C14" s="1240"/>
      <c r="D14" s="454"/>
      <c r="E14" s="474"/>
      <c r="F14" s="417"/>
      <c r="G14" s="416"/>
      <c r="H14" s="418"/>
      <c r="I14" s="416"/>
      <c r="J14" s="417"/>
      <c r="K14" s="417"/>
      <c r="L14" s="456" t="s">
        <v>411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796"/>
    </row>
    <row r="15" spans="1:19" ht="24.75" customHeight="1" hidden="1">
      <c r="A15" s="631"/>
      <c r="B15" s="633"/>
      <c r="C15" s="628"/>
      <c r="D15" s="455"/>
      <c r="E15" s="638"/>
      <c r="F15" s="470"/>
      <c r="G15" s="638"/>
      <c r="H15" s="638"/>
      <c r="I15" s="638"/>
      <c r="J15" s="638"/>
      <c r="K15" s="469"/>
      <c r="M15" s="450"/>
      <c r="N15" s="450"/>
      <c r="O15" s="450"/>
      <c r="P15" s="450"/>
      <c r="Q15" s="450"/>
      <c r="R15" s="450"/>
      <c r="S15" s="796"/>
    </row>
    <row r="16" spans="1:19" ht="48.75" customHeight="1" hidden="1">
      <c r="A16" s="631"/>
      <c r="B16" s="633"/>
      <c r="C16" s="628"/>
      <c r="D16" s="455"/>
      <c r="E16" s="638"/>
      <c r="F16" s="470"/>
      <c r="G16" s="638"/>
      <c r="H16" s="638"/>
      <c r="I16" s="638"/>
      <c r="J16" s="638"/>
      <c r="K16" s="469"/>
      <c r="M16" s="450"/>
      <c r="N16" s="450"/>
      <c r="O16" s="450"/>
      <c r="P16" s="450"/>
      <c r="Q16" s="450"/>
      <c r="R16" s="450"/>
      <c r="S16" s="796"/>
    </row>
    <row r="17" spans="1:19" ht="24" customHeight="1" hidden="1">
      <c r="A17" s="631"/>
      <c r="B17" s="633"/>
      <c r="C17" s="628"/>
      <c r="D17" s="455"/>
      <c r="E17" s="638"/>
      <c r="F17" s="470"/>
      <c r="G17" s="638"/>
      <c r="H17" s="638"/>
      <c r="I17" s="638"/>
      <c r="J17" s="638"/>
      <c r="K17" s="470"/>
      <c r="L17" s="457" t="s">
        <v>410</v>
      </c>
      <c r="M17" s="421">
        <v>1</v>
      </c>
      <c r="N17" s="421">
        <v>1</v>
      </c>
      <c r="O17" s="421">
        <v>1</v>
      </c>
      <c r="P17" s="421">
        <v>1</v>
      </c>
      <c r="Q17" s="421">
        <v>1</v>
      </c>
      <c r="R17" s="421">
        <v>1</v>
      </c>
      <c r="S17" s="796"/>
    </row>
    <row r="18" spans="1:19" ht="28.5" customHeight="1">
      <c r="A18" s="1229"/>
      <c r="B18" s="1230"/>
      <c r="C18" s="796"/>
      <c r="D18" s="1243"/>
      <c r="E18" s="1222"/>
      <c r="F18" s="1244"/>
      <c r="G18" s="1222"/>
      <c r="H18" s="1222"/>
      <c r="I18" s="1222"/>
      <c r="J18" s="1222"/>
      <c r="K18" s="635"/>
      <c r="L18" s="456" t="s">
        <v>409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796"/>
    </row>
    <row r="19" spans="1:19" ht="37.5" customHeight="1">
      <c r="A19" s="1229"/>
      <c r="B19" s="1230"/>
      <c r="C19" s="796"/>
      <c r="D19" s="1243"/>
      <c r="E19" s="1222"/>
      <c r="F19" s="1244"/>
      <c r="G19" s="1222"/>
      <c r="H19" s="1222"/>
      <c r="I19" s="1222"/>
      <c r="J19" s="1222"/>
      <c r="K19" s="635"/>
      <c r="L19" s="456" t="s">
        <v>408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796"/>
    </row>
    <row r="20" spans="1:19" ht="37.5" customHeight="1">
      <c r="A20" s="1229"/>
      <c r="B20" s="1230"/>
      <c r="C20" s="796"/>
      <c r="D20" s="1243"/>
      <c r="E20" s="1222"/>
      <c r="F20" s="1244"/>
      <c r="G20" s="1222"/>
      <c r="H20" s="1222"/>
      <c r="I20" s="1222"/>
      <c r="J20" s="1222"/>
      <c r="K20" s="635"/>
      <c r="L20" s="457" t="s">
        <v>407</v>
      </c>
      <c r="M20" s="421">
        <v>95</v>
      </c>
      <c r="N20" s="421">
        <v>95</v>
      </c>
      <c r="O20" s="421">
        <v>95</v>
      </c>
      <c r="P20" s="421">
        <v>95</v>
      </c>
      <c r="Q20" s="421">
        <v>95</v>
      </c>
      <c r="R20" s="421">
        <v>95</v>
      </c>
      <c r="S20" s="796"/>
    </row>
    <row r="21" spans="1:19" ht="24.75" customHeight="1">
      <c r="A21" s="1229"/>
      <c r="B21" s="1230"/>
      <c r="C21" s="796"/>
      <c r="D21" s="1243"/>
      <c r="E21" s="1222"/>
      <c r="F21" s="1244"/>
      <c r="G21" s="1222"/>
      <c r="H21" s="1222"/>
      <c r="I21" s="1222"/>
      <c r="J21" s="1222"/>
      <c r="K21" s="635"/>
      <c r="L21" s="457" t="s">
        <v>526</v>
      </c>
      <c r="M21" s="421">
        <v>95</v>
      </c>
      <c r="N21" s="421">
        <v>100</v>
      </c>
      <c r="O21" s="421">
        <v>100</v>
      </c>
      <c r="P21" s="421">
        <v>100</v>
      </c>
      <c r="Q21" s="421">
        <v>100</v>
      </c>
      <c r="R21" s="421">
        <v>100</v>
      </c>
      <c r="S21" s="796"/>
    </row>
    <row r="22" spans="1:19" ht="36" customHeight="1" thickBot="1">
      <c r="A22" s="1229"/>
      <c r="B22" s="1230"/>
      <c r="C22" s="796"/>
      <c r="D22" s="634"/>
      <c r="E22" s="459"/>
      <c r="F22" s="471"/>
      <c r="G22" s="459"/>
      <c r="H22" s="459"/>
      <c r="I22" s="459"/>
      <c r="J22" s="459"/>
      <c r="K22" s="471"/>
      <c r="L22" s="457" t="s">
        <v>524</v>
      </c>
      <c r="M22" s="342">
        <v>4</v>
      </c>
      <c r="N22" s="342">
        <v>5</v>
      </c>
      <c r="O22" s="342">
        <v>5</v>
      </c>
      <c r="P22" s="342">
        <v>5</v>
      </c>
      <c r="Q22" s="342">
        <v>5</v>
      </c>
      <c r="R22" s="342">
        <v>5</v>
      </c>
      <c r="S22" s="796"/>
    </row>
    <row r="23" spans="1:19" ht="37.5" customHeight="1" hidden="1" thickBot="1">
      <c r="A23" s="1229"/>
      <c r="B23" s="1230"/>
      <c r="C23" s="796"/>
      <c r="D23" s="631"/>
      <c r="E23" s="419"/>
      <c r="F23" s="419"/>
      <c r="G23" s="419"/>
      <c r="H23" s="419"/>
      <c r="I23" s="419"/>
      <c r="J23" s="419"/>
      <c r="K23" s="472"/>
      <c r="S23" s="796"/>
    </row>
    <row r="24" spans="1:19" ht="47.25" customHeight="1" hidden="1">
      <c r="A24" s="1229"/>
      <c r="B24" s="1230"/>
      <c r="C24" s="796"/>
      <c r="D24" s="344"/>
      <c r="E24" s="343"/>
      <c r="F24" s="343"/>
      <c r="G24" s="343"/>
      <c r="H24" s="343"/>
      <c r="I24" s="343"/>
      <c r="J24" s="343"/>
      <c r="K24" s="473"/>
      <c r="S24" s="796"/>
    </row>
    <row r="25" spans="1:19" ht="46.5" customHeight="1" hidden="1" thickBot="1">
      <c r="A25" s="1229"/>
      <c r="B25" s="1230"/>
      <c r="C25" s="796"/>
      <c r="D25" s="344"/>
      <c r="E25" s="343"/>
      <c r="F25" s="343"/>
      <c r="G25" s="343"/>
      <c r="H25" s="343"/>
      <c r="I25" s="343"/>
      <c r="J25" s="343"/>
      <c r="K25" s="473"/>
      <c r="S25" s="796"/>
    </row>
    <row r="26" spans="1:19" s="341" customFormat="1" ht="13.5" customHeight="1">
      <c r="A26" s="1120"/>
      <c r="B26" s="1235" t="s">
        <v>458</v>
      </c>
      <c r="C26" s="1239"/>
      <c r="D26" s="1231" t="s">
        <v>457</v>
      </c>
      <c r="E26" s="1216">
        <f>SUM(F26:K27)</f>
        <v>58330.90000000001</v>
      </c>
      <c r="F26" s="1216">
        <f aca="true" t="shared" si="1" ref="F26:K26">F34+F35</f>
        <v>8640.8</v>
      </c>
      <c r="G26" s="1216">
        <f t="shared" si="1"/>
        <v>9309.77</v>
      </c>
      <c r="H26" s="1216">
        <f t="shared" si="1"/>
        <v>9712.76</v>
      </c>
      <c r="I26" s="1216">
        <f t="shared" si="1"/>
        <v>10321.53</v>
      </c>
      <c r="J26" s="1216">
        <f t="shared" si="1"/>
        <v>10138.02</v>
      </c>
      <c r="K26" s="1223">
        <f t="shared" si="1"/>
        <v>10208.02</v>
      </c>
      <c r="L26" s="1218"/>
      <c r="M26" s="1218"/>
      <c r="N26" s="1218"/>
      <c r="O26" s="1218"/>
      <c r="P26" s="1218"/>
      <c r="Q26" s="629"/>
      <c r="R26" s="629"/>
      <c r="S26" s="1218"/>
    </row>
    <row r="27" spans="1:19" s="341" customFormat="1" ht="0.75" customHeight="1">
      <c r="A27" s="1083"/>
      <c r="B27" s="1236"/>
      <c r="C27" s="1240"/>
      <c r="D27" s="1232"/>
      <c r="E27" s="1217"/>
      <c r="F27" s="1217"/>
      <c r="G27" s="1217"/>
      <c r="H27" s="1217"/>
      <c r="I27" s="1217"/>
      <c r="J27" s="1217"/>
      <c r="K27" s="1224"/>
      <c r="L27" s="1219"/>
      <c r="M27" s="1219"/>
      <c r="N27" s="1219"/>
      <c r="O27" s="1219"/>
      <c r="P27" s="1219"/>
      <c r="Q27" s="630"/>
      <c r="R27" s="630"/>
      <c r="S27" s="1219"/>
    </row>
    <row r="28" spans="1:19" ht="15.75" customHeight="1" hidden="1">
      <c r="A28" s="1233"/>
      <c r="B28" s="1237"/>
      <c r="C28" s="1241"/>
      <c r="D28" s="575" t="s">
        <v>412</v>
      </c>
      <c r="E28" s="576"/>
      <c r="F28" s="576"/>
      <c r="G28" s="576"/>
      <c r="H28" s="576"/>
      <c r="I28" s="576"/>
      <c r="J28" s="576"/>
      <c r="K28" s="649"/>
      <c r="L28" s="1220"/>
      <c r="M28" s="1220"/>
      <c r="N28" s="1220"/>
      <c r="O28" s="1220"/>
      <c r="P28" s="1220"/>
      <c r="Q28" s="650"/>
      <c r="R28" s="650"/>
      <c r="S28" s="1220"/>
    </row>
    <row r="29" spans="1:19" ht="15.75" customHeight="1" hidden="1">
      <c r="A29" s="1233"/>
      <c r="B29" s="1237"/>
      <c r="C29" s="1241"/>
      <c r="D29" s="575" t="s">
        <v>412</v>
      </c>
      <c r="E29" s="576"/>
      <c r="F29" s="576"/>
      <c r="G29" s="577"/>
      <c r="H29" s="577"/>
      <c r="I29" s="577"/>
      <c r="J29" s="577"/>
      <c r="K29" s="651"/>
      <c r="L29" s="1220"/>
      <c r="M29" s="1220"/>
      <c r="N29" s="1220"/>
      <c r="O29" s="1220"/>
      <c r="P29" s="1220"/>
      <c r="Q29" s="650"/>
      <c r="R29" s="650"/>
      <c r="S29" s="1220"/>
    </row>
    <row r="30" spans="1:19" ht="18" customHeight="1" hidden="1">
      <c r="A30" s="1233"/>
      <c r="B30" s="1237"/>
      <c r="C30" s="1241"/>
      <c r="D30" s="575" t="s">
        <v>412</v>
      </c>
      <c r="E30" s="576"/>
      <c r="F30" s="576"/>
      <c r="G30" s="576"/>
      <c r="H30" s="576"/>
      <c r="I30" s="576"/>
      <c r="J30" s="576"/>
      <c r="K30" s="649"/>
      <c r="L30" s="1220"/>
      <c r="M30" s="1220"/>
      <c r="N30" s="1220"/>
      <c r="O30" s="1220"/>
      <c r="P30" s="1220"/>
      <c r="Q30" s="650"/>
      <c r="R30" s="650"/>
      <c r="S30" s="1220"/>
    </row>
    <row r="31" spans="1:19" ht="27.75" customHeight="1" hidden="1">
      <c r="A31" s="1233"/>
      <c r="B31" s="1237"/>
      <c r="C31" s="1241"/>
      <c r="D31" s="575" t="s">
        <v>412</v>
      </c>
      <c r="E31" s="576"/>
      <c r="F31" s="576"/>
      <c r="G31" s="576"/>
      <c r="H31" s="576"/>
      <c r="I31" s="576"/>
      <c r="J31" s="576"/>
      <c r="K31" s="649"/>
      <c r="L31" s="1220"/>
      <c r="M31" s="1220"/>
      <c r="N31" s="1220"/>
      <c r="O31" s="1220"/>
      <c r="P31" s="1220"/>
      <c r="Q31" s="650"/>
      <c r="R31" s="650"/>
      <c r="S31" s="1220"/>
    </row>
    <row r="32" spans="1:19" ht="18" customHeight="1" hidden="1">
      <c r="A32" s="1233"/>
      <c r="B32" s="1237"/>
      <c r="C32" s="1241"/>
      <c r="D32" s="575" t="s">
        <v>412</v>
      </c>
      <c r="E32" s="576"/>
      <c r="F32" s="576"/>
      <c r="G32" s="576"/>
      <c r="H32" s="576"/>
      <c r="I32" s="576"/>
      <c r="J32" s="576"/>
      <c r="K32" s="649"/>
      <c r="L32" s="1220"/>
      <c r="M32" s="1220"/>
      <c r="N32" s="1220"/>
      <c r="O32" s="1220"/>
      <c r="P32" s="1220"/>
      <c r="Q32" s="650"/>
      <c r="R32" s="650"/>
      <c r="S32" s="1220"/>
    </row>
    <row r="33" spans="1:19" ht="21.75" customHeight="1" hidden="1">
      <c r="A33" s="1233"/>
      <c r="B33" s="1237"/>
      <c r="C33" s="1241"/>
      <c r="D33" s="575" t="s">
        <v>412</v>
      </c>
      <c r="E33" s="576"/>
      <c r="F33" s="576"/>
      <c r="G33" s="576"/>
      <c r="H33" s="576"/>
      <c r="I33" s="576"/>
      <c r="J33" s="576"/>
      <c r="K33" s="649"/>
      <c r="L33" s="1220"/>
      <c r="M33" s="1220"/>
      <c r="N33" s="1220"/>
      <c r="O33" s="1220"/>
      <c r="P33" s="1220"/>
      <c r="Q33" s="650"/>
      <c r="R33" s="650"/>
      <c r="S33" s="1220"/>
    </row>
    <row r="34" spans="1:19" ht="15" customHeight="1">
      <c r="A34" s="1233"/>
      <c r="B34" s="1237"/>
      <c r="C34" s="1241"/>
      <c r="D34" s="497" t="s">
        <v>5</v>
      </c>
      <c r="E34" s="637">
        <f>F34+G34+H34+I34+J34+K34</f>
        <v>58330.90000000001</v>
      </c>
      <c r="F34" s="637">
        <f aca="true" t="shared" si="2" ref="F34:K34">F12</f>
        <v>8640.8</v>
      </c>
      <c r="G34" s="637">
        <f t="shared" si="2"/>
        <v>9309.77</v>
      </c>
      <c r="H34" s="637">
        <f t="shared" si="2"/>
        <v>9712.76</v>
      </c>
      <c r="I34" s="637">
        <f t="shared" si="2"/>
        <v>10321.53</v>
      </c>
      <c r="J34" s="637">
        <f t="shared" si="2"/>
        <v>10138.02</v>
      </c>
      <c r="K34" s="652">
        <f t="shared" si="2"/>
        <v>10208.02</v>
      </c>
      <c r="L34" s="1220"/>
      <c r="M34" s="1220"/>
      <c r="N34" s="1220"/>
      <c r="O34" s="1220"/>
      <c r="P34" s="1220"/>
      <c r="Q34" s="650"/>
      <c r="R34" s="650"/>
      <c r="S34" s="1220"/>
    </row>
    <row r="35" spans="1:19" ht="15" customHeight="1" thickBot="1">
      <c r="A35" s="1234"/>
      <c r="B35" s="1238"/>
      <c r="C35" s="1242"/>
      <c r="D35" s="498" t="s">
        <v>6</v>
      </c>
      <c r="E35" s="578">
        <v>0</v>
      </c>
      <c r="F35" s="578">
        <v>0</v>
      </c>
      <c r="G35" s="578">
        <v>0</v>
      </c>
      <c r="H35" s="578">
        <v>0</v>
      </c>
      <c r="I35" s="578">
        <v>0</v>
      </c>
      <c r="J35" s="578">
        <v>0</v>
      </c>
      <c r="K35" s="653">
        <f>K13</f>
        <v>0</v>
      </c>
      <c r="L35" s="1221"/>
      <c r="M35" s="1221"/>
      <c r="N35" s="1221"/>
      <c r="O35" s="1221"/>
      <c r="P35" s="1221"/>
      <c r="Q35" s="654"/>
      <c r="R35" s="654"/>
      <c r="S35" s="1221"/>
    </row>
  </sheetData>
  <sheetProtection/>
  <mergeCells count="50">
    <mergeCell ref="A11:A14"/>
    <mergeCell ref="B11:B14"/>
    <mergeCell ref="C11:C14"/>
    <mergeCell ref="A4:S4"/>
    <mergeCell ref="A6:A7"/>
    <mergeCell ref="B6:B7"/>
    <mergeCell ref="C6:C7"/>
    <mergeCell ref="D6:D7"/>
    <mergeCell ref="L6:R6"/>
    <mergeCell ref="A18:A21"/>
    <mergeCell ref="B18:B21"/>
    <mergeCell ref="C18:C21"/>
    <mergeCell ref="D18:D21"/>
    <mergeCell ref="E18:E21"/>
    <mergeCell ref="F18:F21"/>
    <mergeCell ref="A22:A25"/>
    <mergeCell ref="B22:B25"/>
    <mergeCell ref="C22:C25"/>
    <mergeCell ref="D26:D27"/>
    <mergeCell ref="E26:E27"/>
    <mergeCell ref="A26:A35"/>
    <mergeCell ref="B26:B35"/>
    <mergeCell ref="C26:C35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S22:S25"/>
    <mergeCell ref="G18:G21"/>
    <mergeCell ref="H18:H21"/>
    <mergeCell ref="S18:S21"/>
    <mergeCell ref="B9:S9"/>
    <mergeCell ref="B10:S10"/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2018-11-26T09:13:04Z</dcterms:modified>
  <cp:category/>
  <cp:version/>
  <cp:contentType/>
  <cp:contentStatus/>
</cp:coreProperties>
</file>