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120" windowHeight="7950" activeTab="2"/>
  </bookViews>
  <sheets>
    <sheet name="ВСЕГО по РО" sheetId="1" r:id="rId1"/>
    <sheet name="ИТОГО по РО" sheetId="2" state="hidden" r:id="rId2"/>
    <sheet name="Модернизация" sheetId="3" r:id="rId3"/>
    <sheet name="мм" sheetId="4" state="hidden" r:id="rId4"/>
    <sheet name="Молодежная политика" sheetId="5" r:id="rId5"/>
    <sheet name="молодежь" sheetId="6" state="hidden" r:id="rId6"/>
    <sheet name=" отдых" sheetId="7" state="hidden" r:id="rId7"/>
    <sheet name="профилактика" sheetId="8" state="hidden" r:id="rId8"/>
    <sheet name="МИТО" sheetId="9" r:id="rId9"/>
    <sheet name="ЦБО" sheetId="10" r:id="rId10"/>
    <sheet name="ОКСМП" sheetId="11" r:id="rId11"/>
    <sheet name="Стр.2 модернизация (2)" sheetId="12" state="hidden" r:id="rId12"/>
  </sheets>
  <definedNames>
    <definedName name="OLE_LINK1" localSheetId="6">' отдых'!#REF!</definedName>
    <definedName name="OLE_LINK1" localSheetId="8">'МИТО'!#REF!</definedName>
    <definedName name="OLE_LINK1" localSheetId="3">'мм'!#REF!</definedName>
    <definedName name="OLE_LINK1" localSheetId="2">'Модернизация'!#REF!</definedName>
    <definedName name="OLE_LINK1" localSheetId="4">'Молодежная политика'!#REF!</definedName>
    <definedName name="OLE_LINK1" localSheetId="5">'молодежь'!#REF!</definedName>
    <definedName name="OLE_LINK1" localSheetId="7">'профилактика'!#REF!</definedName>
    <definedName name="OLE_LINK1" localSheetId="11">'Стр.2 модернизация (2)'!#REF!</definedName>
    <definedName name="OLE_LINK1" localSheetId="9">'ЦБО'!#REF!</definedName>
    <definedName name="_xlnm.Print_Titles" localSheetId="6">' отдых'!$4:$5</definedName>
    <definedName name="_xlnm.Print_Titles" localSheetId="8">'МИТО'!$6:$7</definedName>
    <definedName name="_xlnm.Print_Titles" localSheetId="3">'мм'!$5:$6</definedName>
    <definedName name="_xlnm.Print_Titles" localSheetId="2">'Модернизация'!$6:$7</definedName>
    <definedName name="_xlnm.Print_Titles" localSheetId="4">'Молодежная политика'!$6:$7</definedName>
    <definedName name="_xlnm.Print_Titles" localSheetId="5">'молодежь'!$4:$5</definedName>
    <definedName name="_xlnm.Print_Titles" localSheetId="10">'ОКСМП'!$4:$5</definedName>
    <definedName name="_xlnm.Print_Titles" localSheetId="7">'профилактика'!$4:$5</definedName>
    <definedName name="_xlnm.Print_Titles" localSheetId="11">'Стр.2 модернизация (2)'!$4:$5</definedName>
    <definedName name="_xlnm.Print_Titles" localSheetId="9">'ЦБО'!$4:$5</definedName>
    <definedName name="_xlnm.Print_Area" localSheetId="0">'ВСЕГО по РО'!$A$1:$K$36</definedName>
    <definedName name="_xlnm.Print_Area" localSheetId="1">'ИТОГО по РО'!$A$1:$I$37</definedName>
    <definedName name="_xlnm.Print_Area" localSheetId="3">'мм'!$A$1:$Q$172</definedName>
    <definedName name="_xlnm.Print_Area" localSheetId="2">'Модернизация'!$A$1:$S$67</definedName>
    <definedName name="_xlnm.Print_Area" localSheetId="4">'Молодежная политика'!$A$1:$S$60</definedName>
    <definedName name="_xlnm.Print_Area" localSheetId="11">'Стр.2 модернизация (2)'!$A$1:$Q$173</definedName>
  </definedNames>
  <calcPr fullCalcOnLoad="1"/>
</workbook>
</file>

<file path=xl/sharedStrings.xml><?xml version="1.0" encoding="utf-8"?>
<sst xmlns="http://schemas.openxmlformats.org/spreadsheetml/2006/main" count="1999" uniqueCount="540">
  <si>
    <t>Объемы и источники финансирования (тыс. руб.)</t>
  </si>
  <si>
    <t>Всего</t>
  </si>
  <si>
    <t>2014 год</t>
  </si>
  <si>
    <t>2015 год</t>
  </si>
  <si>
    <t>Наименование</t>
  </si>
  <si>
    <t>МБ</t>
  </si>
  <si>
    <t>ОБ</t>
  </si>
  <si>
    <t>В тыс. руб.</t>
  </si>
  <si>
    <t>Срок выполнения</t>
  </si>
  <si>
    <t>Источники финансирования</t>
  </si>
  <si>
    <t>1.1.</t>
  </si>
  <si>
    <t>Всего:</t>
  </si>
  <si>
    <t xml:space="preserve">В т.ч.: </t>
  </si>
  <si>
    <t>Всего по подпрограмме</t>
  </si>
  <si>
    <t>Исполнители, перечень организаций, участвующих в реализации основных мероприятий</t>
  </si>
  <si>
    <t>Цель, задачи, основные мероприятия</t>
  </si>
  <si>
    <t>№  п/п</t>
  </si>
  <si>
    <t>Показатели (индикаторы) результативности выполнения основных мероприятий</t>
  </si>
  <si>
    <t>Цель подпрограммы: Создание условий для успешного развития потенциала и интеграции молодежи в экономическую, культурную и общественно-политическую жизнь ЗАТО Видяево</t>
  </si>
  <si>
    <t>1.1</t>
  </si>
  <si>
    <t>Цель подпрограммы: Организация и обеспечение круглогодичного отдыха, оздоровления и занятости детей и молодежи ЗАТО Видяево, в том числе находящихся в трудной жизненной ситуации</t>
  </si>
  <si>
    <t>Задача 1. Совершенствование и развитие системы отдыха и оздоровления детей муниципального образования ЗАТО Видяево в лагерях с дневным  пребыванием и на площадках временного пребывания детей в каникулярный период</t>
  </si>
  <si>
    <t>1.2</t>
  </si>
  <si>
    <t>Всего по задаче 1</t>
  </si>
  <si>
    <t>2.</t>
  </si>
  <si>
    <t>Задача 2. Обеспечение отдыхом и оздоровлением детей дошкольного возраста на базе дежурного дошкольного учреждения в летний каникулярный период</t>
  </si>
  <si>
    <t>2.1.</t>
  </si>
  <si>
    <t>Реализация программы оздоровительных мероприятий  на базе дежурного детского сада</t>
  </si>
  <si>
    <t>3.</t>
  </si>
  <si>
    <t>Задача 3 . Обеспечение отдыхом и оздоровлением обучающихся ЗАТО Видяево  в возрасте от 6 до 18 лет во всех видах и типах лагерей</t>
  </si>
  <si>
    <t>3.1.</t>
  </si>
  <si>
    <t>3.2</t>
  </si>
  <si>
    <t>Оздоровление детей в санаторно-оздоровительных учреждениях, расположенных за пределами Мурманской области</t>
  </si>
  <si>
    <t>Всего по задаче 3</t>
  </si>
  <si>
    <t>4.</t>
  </si>
  <si>
    <t>Задача  4.  Оказание содействия несовершеннолетним в их трудоустройстве в каникулярное (в том числе летнее) время</t>
  </si>
  <si>
    <t>4.1.</t>
  </si>
  <si>
    <t>Организация временной занятости подростков в летнее и свободное от учебы время</t>
  </si>
  <si>
    <t>5.</t>
  </si>
  <si>
    <t>5.1.</t>
  </si>
  <si>
    <t>Задача 2. Уменьшение  числа нарушений правил дорожного движения и ДТП, произошедших по вине несовершеннолетних</t>
  </si>
  <si>
    <t>2.2</t>
  </si>
  <si>
    <t>2014-2016</t>
  </si>
  <si>
    <t>Всего по задаче 2</t>
  </si>
  <si>
    <t>Цель подпрограммы: повышение доступности качественного образования для всех категорий обучающихся</t>
  </si>
  <si>
    <t>Капитальный (текущий) ремонт зданий ОУ</t>
  </si>
  <si>
    <t>Выявление и поддержка талантливых детей.</t>
  </si>
  <si>
    <t xml:space="preserve">Содействие  повышению профессионального мастерства, распространению  положительного педагогического  опыта.  </t>
  </si>
  <si>
    <t>Всего по задаче 4</t>
  </si>
  <si>
    <t>Всего по задаче 5</t>
  </si>
  <si>
    <t>Доля обучающихся, успешно освоивших  в полном объеме образовательную программу учебного года и переведенных в следующий класс.</t>
  </si>
  <si>
    <t>МБОУ СОШ ЗАТО Видяево</t>
  </si>
  <si>
    <t>Модернизация</t>
  </si>
  <si>
    <t>Молодежь</t>
  </si>
  <si>
    <t>Всего по годам</t>
  </si>
  <si>
    <t>Отдых</t>
  </si>
  <si>
    <t>Профилактика безнадзорности</t>
  </si>
  <si>
    <t>2016 год</t>
  </si>
  <si>
    <t>Предоставление услуг (работ) в сфере дошкольного образования</t>
  </si>
  <si>
    <t>Предоставление услуг (работ) в сфере общего образования</t>
  </si>
  <si>
    <t>Предоставление услуг (работ) в сфере дополнительного образования</t>
  </si>
  <si>
    <t>Субвенции бюджетам муниципальных образований на реализацию Закона Мурманской области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</t>
  </si>
  <si>
    <t>Субвенции бюджетам муниципальных образований на реализацию Закона Мурманской области "О региональных нормативах финансирования системы образования Мурманской области"</t>
  </si>
  <si>
    <t xml:space="preserve">МБУ УМС (СЗ) ЗАТО Видяево
</t>
  </si>
  <si>
    <t>4.2.</t>
  </si>
  <si>
    <t>Компенсация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</si>
  <si>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Расходы связанные с выплатой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</si>
  <si>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</si>
  <si>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Укрепление материально-технической базы школьных столовых, их техническое оснащение оборудованием и инвентарем</t>
  </si>
  <si>
    <t>Обеспечение санитарно-эпидемиологического благополучия</t>
  </si>
  <si>
    <t>Обеспечение  горячим бесплатным  питанием отдельных категорий обучающихся</t>
  </si>
  <si>
    <t>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</si>
  <si>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1.</t>
  </si>
  <si>
    <t>Задача 1. Создание условий для развития гражданских инициатив</t>
  </si>
  <si>
    <t>МБУК  ОУБ ЗАТО Видяево</t>
  </si>
  <si>
    <t xml:space="preserve">В т.ч. МБ: </t>
  </si>
  <si>
    <t>Задача 2.  Работа направленная на увеличение доли молодых людей, участвующих в мероприятиях, направленных на воспитание гражданственности и патриотизма</t>
  </si>
  <si>
    <t>Задача 3.  Развитие творческого и интеллектуального потенциала  детей и молодежи</t>
  </si>
  <si>
    <t>Задача 4.  Содействие развитию социальной активности и компетенции молодых людей</t>
  </si>
  <si>
    <t>Задача 1. Реализация мер по проведению капитального  (текущего) ремонтов социальной, инженерной и жилищно-коммунальныой инфраструктуры</t>
  </si>
  <si>
    <t>Задача 2. Реализация мероприятий по выявлению и поддержки талантливых детей</t>
  </si>
  <si>
    <t xml:space="preserve">Задача 3.Реализация мероприятий по повышению профессионального мастерства и педагогического  опыта.  </t>
  </si>
  <si>
    <t>4.1.1.</t>
  </si>
  <si>
    <t>Мероприятия по комплексу мер модернизации дошкольного образования</t>
  </si>
  <si>
    <t>Приобретение современного оборудования</t>
  </si>
  <si>
    <t>4.1.2.</t>
  </si>
  <si>
    <t>Повышение квалификации педагогического персонала</t>
  </si>
  <si>
    <t>4.2.1.</t>
  </si>
  <si>
    <t>4.2.2.</t>
  </si>
  <si>
    <t>Мероприятия по комплексу мер модернизации общего образования</t>
  </si>
  <si>
    <t>4.3.</t>
  </si>
  <si>
    <t>4.3.1.</t>
  </si>
  <si>
    <t>Мероприятия по комплексу мер модернизации дополнительного образования</t>
  </si>
  <si>
    <t>Задача 5. Развитие системы образования через качественное выполнение муниципальных услуг</t>
  </si>
  <si>
    <t>5.1.1.</t>
  </si>
  <si>
    <t>5.1.2.</t>
  </si>
  <si>
    <t>5.2.1.</t>
  </si>
  <si>
    <t>5.2.2.</t>
  </si>
  <si>
    <t>5.3.1.</t>
  </si>
  <si>
    <t>МБДОУ№1 ЗАТО Видяево, МБДОУ№2 ЗАТО Видяево</t>
  </si>
  <si>
    <t>Предоставление субсидий на услуги дошкольного образования</t>
  </si>
  <si>
    <t>5.1.2.1.</t>
  </si>
  <si>
    <t>5.1.2.2.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</si>
  <si>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(прочий персонал)</t>
  </si>
  <si>
    <t>5.1.2.3.</t>
  </si>
  <si>
    <t>5.1.2.4.</t>
  </si>
  <si>
    <t>5.1.2.5.</t>
  </si>
  <si>
    <t>5.2.</t>
  </si>
  <si>
    <t>Предоставление субсидий на услуги общего образования</t>
  </si>
  <si>
    <t>Расходы на оказание услуг дошкольного образования</t>
  </si>
  <si>
    <t>Расходы на оказание услуг общего образования</t>
  </si>
  <si>
    <t>5.2.2.2.</t>
  </si>
  <si>
    <t>5.2.2.1.</t>
  </si>
  <si>
    <t>5.3.</t>
  </si>
  <si>
    <t>Расходы на услуги  дополнительного образования</t>
  </si>
  <si>
    <t>5.3.2.</t>
  </si>
  <si>
    <t>6.</t>
  </si>
  <si>
    <t>Задача 6. Совершенствования организации питания школьников</t>
  </si>
  <si>
    <t>6.1.</t>
  </si>
  <si>
    <t>6.2.</t>
  </si>
  <si>
    <t>6.3.</t>
  </si>
  <si>
    <t>6.3.1.</t>
  </si>
  <si>
    <t>6.3.2.</t>
  </si>
  <si>
    <t>6.3.3.</t>
  </si>
  <si>
    <t>Всего по задаче 6</t>
  </si>
  <si>
    <t>Организация отдыха детей Мурманской области в оздоровительных лагерях с дневным пребыванием, организованных на базе муниципальных учреждений</t>
  </si>
  <si>
    <t>Организация  лагерей с дневным временным пребыванием  детей на территории  ЗАТО Видяево</t>
  </si>
  <si>
    <t xml:space="preserve">МБОУ СОШ  ЗАТО Видяево </t>
  </si>
  <si>
    <t>Оздоровление детей в санаторно-оздоровительных учреждениях, расположенных на территории Мурманской области (Бесплатные путевки Министерства образования и науки Мурманской области)</t>
  </si>
  <si>
    <t>МБДОУ№1 ЗАТО Видяево</t>
  </si>
  <si>
    <t>МБДОУ№2 ЗАТО Видяево</t>
  </si>
  <si>
    <t xml:space="preserve">МБДОУ№2 ЗАТО Видяево
</t>
  </si>
  <si>
    <t xml:space="preserve">МБДОУ№1 ЗАТО Видяево
</t>
  </si>
  <si>
    <t>Мероприятия по организации питания школьников</t>
  </si>
  <si>
    <t>РО всего</t>
  </si>
  <si>
    <t>МКУ «Центр   МИТО» ЗАТО Видяево</t>
  </si>
  <si>
    <t xml:space="preserve">МКУ «Центр МИТО» ЗАТО Видяево
</t>
  </si>
  <si>
    <t>МБОО ДОД «Олимп» ЗАТО Видяево</t>
  </si>
  <si>
    <t>4.1.3.</t>
  </si>
  <si>
    <t>Приобретение основных средств</t>
  </si>
  <si>
    <t>4.2.3.</t>
  </si>
  <si>
    <t>4.3.2.</t>
  </si>
  <si>
    <t>МБОО ДОД «Олимп»</t>
  </si>
  <si>
    <t>3.3</t>
  </si>
  <si>
    <t>МБОО ДОД "Олимп" ЗАТО Видяево</t>
  </si>
  <si>
    <t>Оплата поощрительной путевки на оздоровление и отдых, участнику Всероссийского конкурса детского и юношеского литературно-художественного творчества</t>
  </si>
  <si>
    <t>МБУ УМС (СЗ) ЗАТО Видяево</t>
  </si>
  <si>
    <t xml:space="preserve">Задача 4. Реализация мероприятий по модернизации образования </t>
  </si>
  <si>
    <t>3.4.</t>
  </si>
  <si>
    <t>Оплата проезда ребенку - инвалиду которому, противопоказан организованный отдых на основании индивидуальной путевки по провилю санаторно-курортного лечения</t>
  </si>
  <si>
    <t>Всего по программе Развитие образования на 2014-2016 (Без ВЦП)</t>
  </si>
  <si>
    <t>ВЦП ОТДЕЛ ОКСМП</t>
  </si>
  <si>
    <t>ВЦП МИТО</t>
  </si>
  <si>
    <t>Совершенствование профессионально-кадрового состава работников, задействованных в системе школьного питания</t>
  </si>
  <si>
    <t>ВЦП ЦБО</t>
  </si>
  <si>
    <t>2017 год</t>
  </si>
  <si>
    <t>2018 год</t>
  </si>
  <si>
    <t xml:space="preserve">ПЕРЕЧЕНЬ ОСНОВНЫХ МЕРОПРИЯТИЙ ПОДПРОГРАММЫ 
«Модернизация образования ЗАТО  Видяево» </t>
  </si>
  <si>
    <t xml:space="preserve">ПЕРЕЧЕНЬ ОСНОВНЫХ МЕРОПРИЯТИЙ ПОДПРОГРАММЫ 
«Молодежь  ЗАТО  Видяево»
</t>
  </si>
  <si>
    <t xml:space="preserve">ПЕРЕЧЕНЬ ОСНОВНЫХ МЕРОПРИЯТИЙ ПОДПРОГРАММЫ 
«Отдых, оздоровление и занятость детей и молодежи ЗАТО  Видяево»
</t>
  </si>
  <si>
    <t xml:space="preserve">МБДОУ№1 ЗАТО Видяево,МБДОУ№2 ЗАТО Видяево </t>
  </si>
  <si>
    <t>2014 - 2018</t>
  </si>
  <si>
    <t>2014-2018</t>
  </si>
  <si>
    <t>Исполнители, перечень организаций, участвующих               в реализации основных мероприятий</t>
  </si>
  <si>
    <t>Срок выполне-ния</t>
  </si>
  <si>
    <t>Источни-ки финансирования</t>
  </si>
  <si>
    <t xml:space="preserve">                                           Всего по задаче 1</t>
  </si>
  <si>
    <t>Всего,        в т.ч          МБ</t>
  </si>
  <si>
    <t>Организация и проведение профилактических мероприятий  ( межведомственных операций, акций, обучающих семинаров-тренингов и т.д.)</t>
  </si>
  <si>
    <t>1.1.1</t>
  </si>
  <si>
    <t>Оказание социальной и материальной помощи несовершеннолетним и семьям группы "риска", оказавшимся    в трудной  жизненной ситуации, социально-опасном положении</t>
  </si>
  <si>
    <t xml:space="preserve">       МБОО ДОД «Олимп»     ЗАТО Видяево</t>
  </si>
  <si>
    <t xml:space="preserve">        МБОО ДОД "Олимп"         ЗАТО Видяево</t>
  </si>
  <si>
    <t>Увеличение количества профилактических мероприятий (ед.)</t>
  </si>
  <si>
    <t>Увеличение количества участников, вовлеченных    в мероприятия (чел.)</t>
  </si>
  <si>
    <t xml:space="preserve">     2014-   2018</t>
  </si>
  <si>
    <t xml:space="preserve">      2014 -    2018</t>
  </si>
  <si>
    <t xml:space="preserve">   2014  - 2018</t>
  </si>
  <si>
    <t xml:space="preserve">     2014-     2018</t>
  </si>
  <si>
    <t>Всего        в т.ч          МБ</t>
  </si>
  <si>
    <t xml:space="preserve">Всего,        в т.ч         МБ          </t>
  </si>
  <si>
    <t xml:space="preserve">Всего,          в т.ч          МБ                             </t>
  </si>
  <si>
    <t xml:space="preserve">        МКУ "Центр МИТО"     ЗАТО Видяево</t>
  </si>
  <si>
    <t>Увеличение количества мероприятий по профилактике ДДТТ (ед.)</t>
  </si>
  <si>
    <t>Организация профилактических мероприятий, направленных на профилактику детского дорожно- транспортного  травматизма (ДДДТ)</t>
  </si>
  <si>
    <t>Увеличение количества реализованных проектов (программ) по профилактике ДДТТ (ед.)</t>
  </si>
  <si>
    <t>Увеличение количества мероприятий по правовому просвещению (ед.)</t>
  </si>
  <si>
    <t>Увеличение количества активных участников, вовлеченных                          в мероприятия (чел.)</t>
  </si>
  <si>
    <t>Обеспечение деятельности отряда Юных правозащитников (отряд ЮП)</t>
  </si>
  <si>
    <t>Всего,        в т.ч.          МБ</t>
  </si>
  <si>
    <t>1.2.</t>
  </si>
  <si>
    <t xml:space="preserve">     2015-      2018</t>
  </si>
  <si>
    <t>Задача 1. Реализация комплекса мер ( в том числе правового просвещения), направленных на профилактику безнадзорности, правонарушений несовершеннолетних и в отношении несовершеннолетних, предупреждение жестокого обращения с детьми и подростками.                                                                                                                                                                                                                                                                                 Задача 1.1.  Воспиитание у детей и подростков безопасного поведения в быту и общественном месте</t>
  </si>
  <si>
    <t>Количество несовершеннолетних, их семей, получивших социальную и материальную поддержку  (чел.)</t>
  </si>
  <si>
    <t>Обеспечение  деятельности отряда    Юных Инспекторов Дорожного Движения (ЮИДД)</t>
  </si>
  <si>
    <t>Цель подпрограммы: повышение эффективности деятельности органов местного самоуправления  и муниципальных образовательных учреждений  по профилактике безнадзорности, правонарушений  несовершеннолетних, детского травматизма,   предупреждению жестокого обращения с детьми</t>
  </si>
  <si>
    <t xml:space="preserve">                                       Всего по подпрограмме</t>
  </si>
  <si>
    <t xml:space="preserve">                                       Всего по задаче 2</t>
  </si>
  <si>
    <t>Мероприятия, направленные                   на развитие гражданских инициатив</t>
  </si>
  <si>
    <t>Мероприятия, направленные                               на развитие творческого и интеллектуального потенциала  детей и молодежи</t>
  </si>
  <si>
    <t>Мероприятия, направленные    на увеличение доли молодых людей, участвующих в мероприятиях, направленных на воспитание гражданственности и патриотизма</t>
  </si>
  <si>
    <t>Мероприятия, направленные                на  развитие социальной активности и компетенции молодых людей</t>
  </si>
  <si>
    <t xml:space="preserve">ПЕРЕЧЕНЬ ОСНОВНЫХ МЕРОПРИЯТИЙ ПОДПРОГРАММЫ 
«Профилактика безнадзорности,правонарушений несовершеннолетних и детского травматизма в ЗАТО  Видяево»
</t>
  </si>
  <si>
    <t>Всего по МП Развитие образования на 2014-2018 годы</t>
  </si>
  <si>
    <t>Софинансирование из бюджета ЗАТО Видяево</t>
  </si>
  <si>
    <t>МБДОУ№1 ЗАТО Видяево, МБДОУ№2 ЗАТО Видяево, МБУ "ЦБО" ЗАТО Видяево</t>
  </si>
  <si>
    <t>МБДОУ№1 ЗАТО Видяево, МБДОУ  №2 ЗАТО Видяево</t>
  </si>
  <si>
    <t xml:space="preserve">Всего:       В т.ч.: </t>
  </si>
  <si>
    <t>1301,9</t>
  </si>
  <si>
    <t>821,9</t>
  </si>
  <si>
    <t>300,0</t>
  </si>
  <si>
    <t>60,0</t>
  </si>
  <si>
    <t xml:space="preserve"> МБ</t>
  </si>
  <si>
    <t>0</t>
  </si>
  <si>
    <t xml:space="preserve">                       МБ</t>
  </si>
  <si>
    <t xml:space="preserve">Всего:          В т.ч.: </t>
  </si>
  <si>
    <t>Всего:     в т.ч.</t>
  </si>
  <si>
    <t xml:space="preserve">                        МБ</t>
  </si>
  <si>
    <t xml:space="preserve">                 МБ</t>
  </si>
  <si>
    <t xml:space="preserve">Всего:         В т.ч.: </t>
  </si>
  <si>
    <t>Всего:     В т.ч.</t>
  </si>
  <si>
    <t xml:space="preserve">Всего:        В т.ч. </t>
  </si>
  <si>
    <t>Всего:      В т.ч.</t>
  </si>
  <si>
    <t>Всего:   В т.ч.</t>
  </si>
  <si>
    <t xml:space="preserve">Всего:    В т.ч. </t>
  </si>
  <si>
    <t>МБДОУ № 2 ЗАТО  Видяево</t>
  </si>
  <si>
    <t xml:space="preserve">МБДОУ № 1 ЗАТО  Видяево </t>
  </si>
  <si>
    <t>Всего:         В т.ч. :</t>
  </si>
  <si>
    <t>Всего:       В т.ч.:</t>
  </si>
  <si>
    <t>Доля молодых людей, принявших участие                     в мероприятиях, от планового показателя, %</t>
  </si>
  <si>
    <t>Доля молодых людей, принявших участие                    в мероприятиях, от планового показателя, %</t>
  </si>
  <si>
    <t>Доля молодых людей, принявших участие                   в мероприятиях, от планового показателя, %</t>
  </si>
  <si>
    <t>Доля охвата детей оздоровлением в лагерях с дневным пребыванием, %</t>
  </si>
  <si>
    <t>Доля охвата детей в ТЖС (тяжелой жизненной ситуации), %</t>
  </si>
  <si>
    <t>Проводимые мероприятия, %</t>
  </si>
  <si>
    <t>Выполнение оздоровительной программы, %</t>
  </si>
  <si>
    <t>100</t>
  </si>
  <si>
    <t>Количество оздоровленных детей, кол-во</t>
  </si>
  <si>
    <t xml:space="preserve">Доля оздоровленных детей в ТЖС, % </t>
  </si>
  <si>
    <t>Выполнение программы оздоровления, %</t>
  </si>
  <si>
    <t>20</t>
  </si>
  <si>
    <t>Доля оздоровленных детей, %</t>
  </si>
  <si>
    <t>17</t>
  </si>
  <si>
    <t>70</t>
  </si>
  <si>
    <t>Доля отдохнувших детей, %</t>
  </si>
  <si>
    <t>Отсутствие случаев травматизма, %</t>
  </si>
  <si>
    <t>Количество несовершеннолетних детей временно трудоустроенных, чел.</t>
  </si>
  <si>
    <t xml:space="preserve">Отсутствие случаев травматизма, % </t>
  </si>
  <si>
    <t xml:space="preserve">Принятые по акту плановые ремонтные работы, % </t>
  </si>
  <si>
    <t>Всего:    В т.ч.:</t>
  </si>
  <si>
    <t xml:space="preserve">Доля победителей и призеров от числа участников конкурсов муниципального областного, регионального и всероссийского  уровней, %
</t>
  </si>
  <si>
    <t>1040,0</t>
  </si>
  <si>
    <t>240,0</t>
  </si>
  <si>
    <t>200,0</t>
  </si>
  <si>
    <t>210</t>
  </si>
  <si>
    <t>35</t>
  </si>
  <si>
    <t xml:space="preserve">Доля педагогов, представивших и обобщивших  опыт на разных уровнях от числа планируемых, %
</t>
  </si>
  <si>
    <t>Доля участников конкурсов
профессионального мастерства от числа планируемых, %</t>
  </si>
  <si>
    <t xml:space="preserve">Достижение намеченных показателей по комплексу утвержденных мероприятий, % </t>
  </si>
  <si>
    <t>Всего:         В т.ч:</t>
  </si>
  <si>
    <t>2014- 2018</t>
  </si>
  <si>
    <t xml:space="preserve">Достижение намеченных показателей по комплексу утвержденных мероприятий,% </t>
  </si>
  <si>
    <t>Доля детей в возрасте от 3 – 7 лет от общего числа детей такого возраста, получающих дошкольное образование в детских садах ЗАТО Видяево,%</t>
  </si>
  <si>
    <t>Расходование средств, %</t>
  </si>
  <si>
    <t>Выплаты средств по мерам социальной поддержки, %</t>
  </si>
  <si>
    <t>Всего:      В т.ч.:</t>
  </si>
  <si>
    <t>95</t>
  </si>
  <si>
    <t>Выполнение обязательств по финансированию, %</t>
  </si>
  <si>
    <t>Доля детей в возрасте 5-18 лет от общего числа детей такого возраста в ЗАТО Видяево, охваченная услугами дополнительного образования, %</t>
  </si>
  <si>
    <t>72</t>
  </si>
  <si>
    <t>73</t>
  </si>
  <si>
    <t>5.2.2.3.</t>
  </si>
  <si>
    <t>2014-   2018</t>
  </si>
  <si>
    <t>Выполнение обеспечения молоком, %</t>
  </si>
  <si>
    <t>Доля учащихся получающих горячее питание и молоко, %</t>
  </si>
  <si>
    <t>90</t>
  </si>
  <si>
    <t>77</t>
  </si>
  <si>
    <t>81</t>
  </si>
  <si>
    <t>83</t>
  </si>
  <si>
    <t>Оснащенность современным оборудованием и инвентарем школьной столовой, %</t>
  </si>
  <si>
    <t>65</t>
  </si>
  <si>
    <t>Доля квалифицированных поваров (5-6 разряда), %</t>
  </si>
  <si>
    <t>75</t>
  </si>
  <si>
    <t>85</t>
  </si>
  <si>
    <t>Обеспеченность моющими и дезинфицирующими средствами школьных столовых, %</t>
  </si>
  <si>
    <t>Обеспеченнность персонала столовой спецодеждой, %</t>
  </si>
  <si>
    <t>Субсидия на 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</si>
  <si>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6.1.1.</t>
  </si>
  <si>
    <t>6.1.2.</t>
  </si>
  <si>
    <t>Субсидии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</si>
  <si>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Субсидии бюджетам субъектов Российской Федерации и муниципальных образований на мероприятия государственной программы Российской Федерации «Доступная среда» на 2011-2015 годы в рамках подпрограммы «Обеспечение доступности приоритетных объектов и услуг в приоритетных сферах жизнедеятельности инвалидов и других малоимущих групп населения» государственной программы Российской Федерации «Доступная среда» на 2011-2015 годы.</t>
  </si>
  <si>
    <t>Выполнение плановых мероприятий по формированию сети базовых образовательных организаций, в которых созданы условия для инклюзивного образования детей-инвалидов, %</t>
  </si>
  <si>
    <t>4.2.4.</t>
  </si>
  <si>
    <t>4.2.4.1.</t>
  </si>
  <si>
    <t>4.2.4.2.</t>
  </si>
  <si>
    <t xml:space="preserve">Приложению №1 к Изменениям в муниципальную программу «Развитие образования»
</t>
  </si>
  <si>
    <t xml:space="preserve">Всего:      в т.ч.: </t>
  </si>
  <si>
    <t xml:space="preserve">в т.ч.: </t>
  </si>
  <si>
    <t>СОШ</t>
  </si>
  <si>
    <t>ЦКД (Кисленко)</t>
  </si>
  <si>
    <t xml:space="preserve">Приложение № 1
к Подпрограмме «Отдых, оздоровление и занятость детей и молодежи ЗАТО  Видяево»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</si>
  <si>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 xml:space="preserve">Приложение № 1
к Подпрограмме «Профилактика безнадзорности,правонарушений несовершеннолетних и детского травматизма ЗАТО  Видяево»  на  2014-2016  годы (в редакции от 31.12.2013 № 813, от 12.03.2014 № 112, от 11.04.2014 № 169, от 21.05.2014 № 254,   от 28.05.2014 № 265, от 05.09.2014 № 406, от 05.11.2014 № 502, от 02.12.2014 № 573,  от 15.12.2014 № 601, от 30.12.2014№653, от 26.06.2015 №322, от 27.07.2015 №355, от 24.11.2015 №517, от 30.12.2015 №606)
</t>
  </si>
  <si>
    <t xml:space="preserve">Приложение № 1
к Подпрограмме «Молодежь  ЗАТО  Видяево» 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</si>
  <si>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>(в редакции от 31.12.2013 №813, от 12.03.2014 №112, от 11.04.2014 №169, от 21.05.2014 №254, от 28.05.2014 №265, от 05,09,2014 №406, от 05.11.2014 №502, от 02.12.2014 №573,  от 15.12.2014 №601, от 30.12.2014№653, от 26.06.2015 №322, от 27.07.2015 № 355, от 24.11.2015 №517,  от 30.12.2015 №606)</t>
  </si>
  <si>
    <t>Молодежная политика ЗАТО Видяево</t>
  </si>
  <si>
    <t>Модернизация образования ЗАТО Видяево</t>
  </si>
  <si>
    <t>Всего по муниципальной программе ЗАТО Видяево "Развитие образования"</t>
  </si>
  <si>
    <t>МКУ "Центр МИТО" ЗАТО Видяево</t>
  </si>
  <si>
    <t>Организация профессиональных конкурсов, практических конференций, мероприятий направленных на престиж педагогических профессий.(ед.)</t>
  </si>
  <si>
    <t>Цель ВЦП: Повышение качества эффективности расходования выделенных бюджетных средств,  для осуществления основных функций учреждения</t>
  </si>
  <si>
    <t>Всего: в т.ч.: МБ</t>
  </si>
  <si>
    <t>Итого по задаче 11</t>
  </si>
  <si>
    <t>11.2.Оценка  финансово-хозяйственной деятельности подведомственных учреждений (количество проверок)</t>
  </si>
  <si>
    <t>МКУ «Отдел ОКСМП администрации ЗАТО Видяево», главный специалист и бухгалтерия отдела (в 2014году)</t>
  </si>
  <si>
    <t xml:space="preserve">11.1.Разработка и применение эффективных механизмов (методик) при формировании муниципальных заданий подведомственным учреждениям (количество)   </t>
  </si>
  <si>
    <t>Выполнение полномочий главного распорядителя  бюджетных  средств  в отношении подведомственных муниципальных учреждений образования, культуры и спорта</t>
  </si>
  <si>
    <t>11.1.</t>
  </si>
  <si>
    <t>Задача 11: Выполнение полномочий главного распорядителя  бюджетных  средств  в отношении подведомственных муниципальных учреждений образования, культуры и спорта</t>
  </si>
  <si>
    <t>Всего: в т.ч.: ОБ</t>
  </si>
  <si>
    <t>Итого по задаче 10</t>
  </si>
  <si>
    <t>Субвенции бюджетам  муниципальных образований на реализацию Закона Мурманской области "О наделении органов местного самоуправления муниципальных образований со статусом городского округа и мун. Района отдельными гос. Полномочиями по опеке и попечительству в отношении совершеннолетних граждан"</t>
  </si>
  <si>
    <t>10.2.</t>
  </si>
  <si>
    <t>МКУ «Отдел ОКСМП администрации ЗАТО Видяево», главный специалист по опеке и попечительству</t>
  </si>
  <si>
    <t>.Доля детей, из числа детей-сирот и детей, оставшихся без попечения родителей, устроенных в семьи российских граждан (%)</t>
  </si>
  <si>
    <t>Выполнение  государственных  полномочий  по  опеке  и  попечительству  в  отношении несовершеннолетних</t>
  </si>
  <si>
    <t>10.1.</t>
  </si>
  <si>
    <t>Задача 10: Выполнение  государственных  полномочий  по  опеке  и  попечительству  в  отношении несовершеннолетних</t>
  </si>
  <si>
    <t>Итого по задаче 9</t>
  </si>
  <si>
    <t>9.2.Развитие  спортивной инфраструктуры  (количество объектов)</t>
  </si>
  <si>
    <t>МКУ «Отдел ОКСМП администрации ЗАТО Видяево», ведущий специалист по физической культуре и спорту</t>
  </si>
  <si>
    <t>9.1.Доля населения, систематически занимающихся физической культурой и спортом (%)</t>
  </si>
  <si>
    <t xml:space="preserve"> Обеспечение развития физической культуры и  спорта  на  территории  ЗАТО Видяево</t>
  </si>
  <si>
    <t>9.1.</t>
  </si>
  <si>
    <t>Задача 9:Обеспечение развития физической культуры и  спорта  на  территории  ЗАТО Видяево</t>
  </si>
  <si>
    <t>Итого по задаче 8</t>
  </si>
  <si>
    <t>8.2.Развитие  творческой деятельности (количество объединений)</t>
  </si>
  <si>
    <t>МКУ «Отдел ОКСМП администрации ЗАТО Видяево», ведущий специалист  по культуре, молодежной политике</t>
  </si>
  <si>
    <t>8.1.Доля населения, принимающего участие в культурно-массовых мероприятиях (%)</t>
  </si>
  <si>
    <t xml:space="preserve"> Обеспечение всех направлений культурного развития ЗАТО Видяево</t>
  </si>
  <si>
    <t>8.1.</t>
  </si>
  <si>
    <t>Задача 8: Обеспечение всех направлений культурного развития ЗАТО Видяево</t>
  </si>
  <si>
    <t>Итого по задаче 7</t>
  </si>
  <si>
    <t xml:space="preserve">7.2.Доля детей и молодежи в возрасте от 14 до 23 лет, охваченных  профилактической волонтерской деятельностью  (%) </t>
  </si>
  <si>
    <t>7.1.Доля детей и молодежи в возрасте от 14 до 23 лет, охваченных  деятельностью  по социальному проектированию (%)</t>
  </si>
  <si>
    <t>Реализация  направлений  государственной молодежной политики  в ЗАТО Видяево</t>
  </si>
  <si>
    <t>7.1.</t>
  </si>
  <si>
    <t>Задача 7: Реализация  направлений  государственной молодежной политики  в ЗАТО Видяево</t>
  </si>
  <si>
    <t>Итого по задаче 6</t>
  </si>
  <si>
    <t>6.3.Доля детей, состоящих на учете в КДН и ОВД, охваченных организованным летним отдыхом (%)</t>
  </si>
  <si>
    <t>6.2.Доля детей в возрасте от 7 до 18 лет, охвачена организованным летним отдыхом (%)</t>
  </si>
  <si>
    <t>МКУ «Отдел ОКСМП администрации ЗАТО Видяево», ведущий специалист</t>
  </si>
  <si>
    <t>6.1.Доля детей в возрасте от 7 до 18 лет, охвачена организованным круглогодичным отдыхом (%)</t>
  </si>
  <si>
    <t>Достижение показателей эффективности организация отдыха и оздоровления детей ЗАТО Видяево</t>
  </si>
  <si>
    <t>Задача 6: Достижение показателей эффективности организации отдыха и оздоровления детей ЗАТО Видяево</t>
  </si>
  <si>
    <t>Итого по задаче 5</t>
  </si>
  <si>
    <t>5.3.Динамика  показателя количества  детей,   употребляющих  ПАВ (чел.)</t>
  </si>
  <si>
    <t>5.2.Динамика показателя количества детей, состоящих  на  учете в КДН и ОВД  (чел.)</t>
  </si>
  <si>
    <t>да</t>
  </si>
  <si>
    <t>5.1.Применение программно-целевого подхода при  осуществлении   воспитательно-профилактической  деятельности (да/нет)</t>
  </si>
  <si>
    <t xml:space="preserve">Обеспечение эффективной  воспитательно-профилактической  деятельности на территории ЗАТО Видяево </t>
  </si>
  <si>
    <t xml:space="preserve">Задача 5: Обеспечение эффективной  воспитательно-профилактической  деятельности на территории ЗАТО Видяево </t>
  </si>
  <si>
    <t>Итого по задаче 4</t>
  </si>
  <si>
    <t>4.3.Внедрение  механизмов эффективного контракта  с руководителем (да/нет)</t>
  </si>
  <si>
    <t>4.2.Доля детей, состоящих на профилактическом учете в подразделениях по делам несовершеннолетних, органах внутренних дел, занятых в объединениях дополнительного образования (%)</t>
  </si>
  <si>
    <t>4.1.Доля детей в возрасте от 5 до 18 лет, обучающихся по программам дополнительного образования (%)</t>
  </si>
  <si>
    <t>Организация  общедоступного дополнительного образования детей</t>
  </si>
  <si>
    <t>Задача 4: Организация  воспитания и дополнительного образования детей</t>
  </si>
  <si>
    <t>Итого по задаче 3</t>
  </si>
  <si>
    <t>3.3.Внедрение  механизмов эффективного контракта с руководителем (да/нет)</t>
  </si>
  <si>
    <t>3.2.Обновление  основных образовательных программ дошкольного образования с учетом требований стандартов дошкольного образования (%)</t>
  </si>
  <si>
    <t>3.1.Доля детей в возрасте  от 3 до 7 лет, получающих услуги дошкольного образования (%)</t>
  </si>
  <si>
    <t xml:space="preserve">Организация общедоступного бесплатного дошкольного  образования      </t>
  </si>
  <si>
    <t xml:space="preserve">Задача 3: Организация общедоступного бесплатного дошкольного  образования      </t>
  </si>
  <si>
    <t xml:space="preserve">Итого по задаче 2    </t>
  </si>
  <si>
    <t>2.3.Внедрение  механизмов эффективного контракта с руководителем (да/нет)</t>
  </si>
  <si>
    <t>2.2.Доля выпускников, получивших аттестат соответствующего образца (%)</t>
  </si>
  <si>
    <t xml:space="preserve">МКУ «Отдел ОКСМП администрации ЗАТО Видяево», главный специалист </t>
  </si>
  <si>
    <t>2.1.Доля  детей в возрасте от 7 до 18 лет, обучающихся  по программам общего образования, от числа детей, подлежащих обязательному   обучению по программам начального, основного и среднего (полного) общего образования (%)</t>
  </si>
  <si>
    <t>Организация начального общего, основного общего и среднего (полного) общего образования</t>
  </si>
  <si>
    <t>Задача 2 Организация начального общего, основного общего и среднего (полного) общего образования</t>
  </si>
  <si>
    <t>Итого по задаче 1</t>
  </si>
  <si>
    <t>1.2.Оценка  выполнения функций и полномочий Отдела (количество жалоб, предложений надзорных органов)</t>
  </si>
  <si>
    <t>МКУ «Отдел ОКСМП администрации ЗАТО Видяево», начальник отдела</t>
  </si>
  <si>
    <t>1.1.Достижение установленных качественных показателей при реализации задач программы (%)</t>
  </si>
  <si>
    <t xml:space="preserve"> Управление развитием систем образования, культуры,  спорта и молодежной политики  в ЗАТО Видяево</t>
  </si>
  <si>
    <t>Задача 1 Эффективное управление развитием систем образования, культуры, спорта и молодежной политики в ЗАТО Видяево</t>
  </si>
  <si>
    <r>
      <t xml:space="preserve">Цель ВЦП: </t>
    </r>
    <r>
      <rPr>
        <b/>
        <sz val="8"/>
        <color indexed="8"/>
        <rFont val="Times New Roman"/>
        <family val="1"/>
      </rPr>
      <t>Развитие   систем образования, культуры  и  спорта  в ЗАТО Видяево  через  эффективное  выполнение  муниципальных  функций  органов местного самоуправления</t>
    </r>
  </si>
  <si>
    <t>Показатели (индикаторы) результативности                                выполнения основных мероприятий</t>
  </si>
  <si>
    <t xml:space="preserve">ПЕРЕЧЕНЬ
ОСНОВНЫХ МЕРОПРИЯТИЙ ВЕДОМСТВЕННОЙ ЦЕЛЕВОЙ ПРОГРАММЫ 
«Обеспечение деятельности МКУ "Отдел ОКСМП администрации ЗАТО Видяево»
</t>
  </si>
  <si>
    <t xml:space="preserve">ПЕРЕЧЕНЬ
ОСНОВНЫХ МЕРОПРИЯТИЙ ВЕДОМСТВЕННОЙ ЦЕЛЕВОЙ ПРОГРАММЫ 
«Осуществление финансово-экономических функций и бухгалтерского обслуживания муниципальных учреждений ЗАТО Видяево»  </t>
  </si>
  <si>
    <t>Цель ВЦП: Повышение качества ведения бюджетного, бухгалтерского, налогового и статистического учета доходов и расходов, составление требуемой отчетности и предоставление её в установленном порядке в муниципальные учреждения ЗАТО Видяево.</t>
  </si>
  <si>
    <t>Задача 1: Организация и ведение бюджетного, бухгалтерского, налогового и статистического учета в муниципальных учреждениях ЗАТО Видяево.</t>
  </si>
  <si>
    <t>Услуга по централизованному ведению бюджетного, бухгалтерского и налогового учета в муниципальных учреждениях ЗАТО Видяево</t>
  </si>
  <si>
    <t>Всего:  В т.ч.:</t>
  </si>
  <si>
    <t>Своевременное исполнение обязательств по расчетам с обслуживаемыми учреждениями, %</t>
  </si>
  <si>
    <t>МБУ "ЦБО" ЗАТО Видяево</t>
  </si>
  <si>
    <t>Оказание консультационной помощи муниципальным учреждениям, кол-во консультаций</t>
  </si>
  <si>
    <t>не менее 100</t>
  </si>
  <si>
    <t>Своевременная сдача годовой, квартальной, месячной отчетности, %</t>
  </si>
  <si>
    <t>Задача 2: Обеспечение условий для качественного выполнения основных видов деятельности.</t>
  </si>
  <si>
    <t>Расходы на содержание имущества МБУ "ЦБО" ЗАТО Видяево</t>
  </si>
  <si>
    <t>Соблюдение лимитов потребления ресурсов (электрической и тепловой энергии, холодной воды, сточных вод), отсутствие перерасхода, %</t>
  </si>
  <si>
    <t>Оснащенность рабочих мест материально-техническим оборудованием, материалами и лицензионным программным продуктом, %</t>
  </si>
  <si>
    <t xml:space="preserve">ПЕРЕЧЕНЬ ОСНОВНЫХ МЕРОПРИЯТИЙ ПОДПРОГРАММЫ ЗАТО Видяево
«Модернизация образования» 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</si>
  <si>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</t>
  </si>
  <si>
    <t xml:space="preserve">Приложение 
к Подпрограмме «Модернизация образования ЗАТО  Видяево»  
</t>
  </si>
  <si>
    <t>Объемы финансирования (тыс. руб.)</t>
  </si>
  <si>
    <t>Основное мероприятие 1. Организационно - техническое и методическое обслуживание муниципальных учреждений в ЗАТО Видяево</t>
  </si>
  <si>
    <t>Доля педагогических и руководящих работников, охваченных различными формами и методических мероприятий, (%)</t>
  </si>
  <si>
    <t>Предоставление качественных условий для желающих распространить свой положительный педагогический опыт на муниципальном уровне (плановые показатели), %</t>
  </si>
  <si>
    <t>Своевременное обновление содержания официального сайта Отдела ОКСМП администрации ЗАТО Видяево (не реже 1  раза в неделю), %</t>
  </si>
  <si>
    <t>Информационно-техническое обеспечение учреждений образования и культуры, %</t>
  </si>
  <si>
    <t>Оказание полиграфических услуг для образовательных учреждений и учреждения культуры ЗАТО Видяево в рамках мероприятий запланированных в Календарном плане,%</t>
  </si>
  <si>
    <t>Обновление и укрепление материально-технической базы учреждения, %</t>
  </si>
  <si>
    <t>Всего, в т.ч. МБ:</t>
  </si>
  <si>
    <t>Качественное содержание имущества учреждения, %</t>
  </si>
  <si>
    <t>Отсутствие  обоснованных жалоб со стороны образовательных учреждений на некачественное  оказание услуги, %</t>
  </si>
  <si>
    <t>Процент исполнения местного бюджета в соответствии с установленными требованиями, %</t>
  </si>
  <si>
    <t xml:space="preserve">ПЕРЕЧЕНЬ ОСНОВНЫХ МЕРОПРИЯТИЙ ПОДПРОГРАММЫ
«Модернизация образования ЗАТО Видяево» </t>
  </si>
  <si>
    <t>Основное мероприятие 1. Модернизация системы образования через качественное выполнение муниципальных услуг</t>
  </si>
  <si>
    <t>Всего:    в т.ч.:</t>
  </si>
  <si>
    <t>Уровень посещаемости МБДОУ воспитанниками, %</t>
  </si>
  <si>
    <t>МБОО ДОД Олимп ЗАТО Видяево</t>
  </si>
  <si>
    <t>МБУ ЦБО ЗАТО Видяево</t>
  </si>
  <si>
    <t>Расходование средств, связанных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образования, %</t>
  </si>
  <si>
    <t>Основное мероприятие 2. Содействие повышению профессионального мастерства, распространению положительного педагогического опыта</t>
  </si>
  <si>
    <t>Основное мероприятие 3. Обеспечение и организация питания в образовательных учреждениях</t>
  </si>
  <si>
    <t>Задача 3. Совершенствования организации питания школьников</t>
  </si>
  <si>
    <t>Приложение 
к ВЦП "Методическое, информационно-техническое обеспечение деятельности муниципальных образовательных организаций ЗАТО Видяево"</t>
  </si>
  <si>
    <t>Доля детей в возрасте от 3 – 7 лет от общего числа детей такого возраста, получающих дошкольное образование в детских садах ЗАТО Видяево, %</t>
  </si>
  <si>
    <t>82</t>
  </si>
  <si>
    <t xml:space="preserve">ПЕРЕЧЕНЬ ОСНОВНЫХ МЕРОПРИЯТИЙ ПОДПРОГРАММЫ 
«Молодежная политика  ЗАТО  Видяево»
</t>
  </si>
  <si>
    <t>Доля обучающихся получающих горячее питание, %</t>
  </si>
  <si>
    <t>Наименование, ед. измерения</t>
  </si>
  <si>
    <t>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</si>
  <si>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 xml:space="preserve">Основное мероприятие 2. Содействие развитию потенциала талантливой молодежи </t>
  </si>
  <si>
    <t>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</si>
  <si>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 xml:space="preserve">Основное мероприятие 4. Отдых, оздоровление и занятость детей и молодежи ЗАТО Видяево </t>
  </si>
  <si>
    <t>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</si>
  <si>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МБУК «ЦКД» ЗАТО Видяево</t>
  </si>
  <si>
    <t xml:space="preserve">Всего в т.ч.: </t>
  </si>
  <si>
    <t>Задача 4.  Реализация мероприятий по организации отдыха, оздоровления и занятости детей и молодежи</t>
  </si>
  <si>
    <t>Количество мероприятий, направленных на профилактику асоциального и деструктивного поведения подростков  и молодежи, а так же по поддержке находящихся в социально-опасном положении (Ед.)</t>
  </si>
  <si>
    <t>Количество несовершеннолетних детей временно трудоустроенных (Чел.)</t>
  </si>
  <si>
    <t>Организация отдыха детей Мурманской области в оздоровительных лагерях с дневным пребыванием, организованных на базе муниципальных учреждений ЗАТО Видяево</t>
  </si>
  <si>
    <t xml:space="preserve">Доля охвата детей и подростков организованным отдыхом, оздоровлением и занятостью (%)
</t>
  </si>
  <si>
    <t>Организация работы площадки временного пребывания</t>
  </si>
  <si>
    <t>Доля детей, охваченных оздоровлением на площадке временного пребывания, из числа детей, находящихся в ТЖС (%)</t>
  </si>
  <si>
    <t>Доля охвата детей в тяжелой жизненной ситуации (ТЖС) оздоровлением в лагерях с дневным пребыванием  (%)</t>
  </si>
  <si>
    <t>Оздоровление детей в санаторно-оздоровительных учреждениях, расположенных на территории и за пределами Мурманской области</t>
  </si>
  <si>
    <t>МКУ «Центр МИТО» ЗАТО Видяево</t>
  </si>
  <si>
    <t>Доля детей, охваченных оздоровлением в санаторно-оздоровительных учреждениях, расположенных на территории и за пределами Мурманской области (%)</t>
  </si>
  <si>
    <t>4.1.4.</t>
  </si>
  <si>
    <t>МБДОУ №1 и №2 ЗАТО Видяево</t>
  </si>
  <si>
    <t>99</t>
  </si>
  <si>
    <t>Задача 1. Реализация мероприятий по модернизации системы образования ЗАТО Видяево</t>
  </si>
  <si>
    <t>Задача 2. Реализация мероприятий по повышению профессионального мастерства и педагогического опыта</t>
  </si>
  <si>
    <t>Задача 2. Реализация мероприятий по выявлению и поддержке талантливых детей</t>
  </si>
  <si>
    <t xml:space="preserve">Задача 1.  Обеспечение эффективного управления развитием учреждения и  организационно-техническим сопровождением муниципальных учреждений </t>
  </si>
  <si>
    <t>Задача 1. Мероприятия по развитию молодежной политики</t>
  </si>
  <si>
    <t xml:space="preserve">Задача 3.  Мероприятия  по профилактике безнадзорности, правонарушений и детского травматизма.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</si>
  <si>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5.  Мероприятия по профилактике наркомании и алкоголизма в детской и молодежной среде</t>
  </si>
  <si>
    <t>ПЕРЕЧЕНЬ
ОСНОВНЫХ МЕРОПРИЯТИЙ ВЕДОМСТВЕННОЙ ЦЕЛЕВОЙ ПРОГРАММЫ 
«Методическое, информационно-техническое обеспечение деятельности муниципальных образовательных организаций ЗАТО Видяево»</t>
  </si>
  <si>
    <t xml:space="preserve"> МКУ "Центр МИТО" ЗАТО Видяево</t>
  </si>
  <si>
    <t xml:space="preserve">Всего в т.ч.:    </t>
  </si>
  <si>
    <t xml:space="preserve">Всего:                  в т.ч.: </t>
  </si>
  <si>
    <t>Всего по ВЦП</t>
  </si>
  <si>
    <t>Цель: Обеспечение социализации и самореализации молодежи ЗАТО Видяево, пропаганда здорового образа жизни, обеспечение круглогодичного отдыха, оздоровления и занятости, а так же содействие развитию потенциала талантливой молодежи ЗАТО Видяево.</t>
  </si>
  <si>
    <t>Цель: Повышение доступности качественного образования для всех категорий обучающихся</t>
  </si>
  <si>
    <t xml:space="preserve">Всего в т.ч: </t>
  </si>
  <si>
    <t>Приложение № 1
к ВЦП "Обеспечение деятельности МКУ Отдела ОКСМП администрации ЗАТО Видяево"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 232)</t>
  </si>
  <si>
    <t>Приложение №1 
к ВЦП "Осуществление финансово-экономических функций и бухгалтерского обслуживания муниципальных учреждений ЗАТО Видяево"
(в редакции от  30.12.2014№653, от 26.06.2015 №322, от 27.07.2015 №355, от 24.11.2015 №517, от 30.12.2015 №606, от 28.03.2016 № 232)</t>
  </si>
  <si>
    <t>Основное мероприятие 4.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</si>
  <si>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Задача 4.    Реализация мероприятий  по проведению плановых ремонтных работ</t>
  </si>
  <si>
    <t>Доля обучающихся, освоивших основную общеобразовательную программу начального, основного и среднего общего образования, в общей численности обучающихся, %</t>
  </si>
  <si>
    <t>2019 год</t>
  </si>
  <si>
    <t>2020 год</t>
  </si>
  <si>
    <t>Исполнители, перечень организаций, участвующих    в реализации основных мероприятий</t>
  </si>
  <si>
    <t>Приложение к подпрограмме "Модернизация образования ЗАТО Видяево"</t>
  </si>
  <si>
    <t>Приложение к подпрограмме «Молодежная политика  ЗАТО  Видяево»</t>
  </si>
  <si>
    <t>2015-2020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</si>
  <si>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от03.08.2016_№_497, от 22.09.2016 №594, от ____________________№_____)</t>
  </si>
  <si>
    <t>Целевая статья</t>
  </si>
  <si>
    <t>7010100000</t>
  </si>
  <si>
    <t>7010000000</t>
  </si>
  <si>
    <t>7010100050 600 07 02</t>
  </si>
  <si>
    <t>7010100050 600 07 01</t>
  </si>
  <si>
    <t>7010220120 200 01 13</t>
  </si>
  <si>
    <t>7010300000</t>
  </si>
  <si>
    <t>7010200000</t>
  </si>
  <si>
    <t>7010329990 600 07 02</t>
  </si>
  <si>
    <t>7010371040 600 07 02</t>
  </si>
  <si>
    <t>7010375320 600 07 02</t>
  </si>
  <si>
    <t>70103S1040 600 07 02</t>
  </si>
  <si>
    <t>7010400000</t>
  </si>
  <si>
    <t>7010420220 600 07 09</t>
  </si>
  <si>
    <t>7020000000</t>
  </si>
  <si>
    <t>7020100000</t>
  </si>
  <si>
    <t xml:space="preserve">7020120110 600 07 07 </t>
  </si>
  <si>
    <t>7020200000</t>
  </si>
  <si>
    <t>7020220110 100 01 13</t>
  </si>
  <si>
    <t>7020220110 200 01 13</t>
  </si>
  <si>
    <t>7020300000</t>
  </si>
  <si>
    <t>7020320110 600 07 09</t>
  </si>
  <si>
    <t>7020400000</t>
  </si>
  <si>
    <t>70204S1050 600 07 07</t>
  </si>
  <si>
    <t>7020471050 600 07 07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</si>
  <si>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 22.09.2016 №594, от ___________________№_____)</t>
  </si>
  <si>
    <t xml:space="preserve"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 22.09.2016 №594,от ________________№____)
</t>
  </si>
  <si>
    <t>№пп</t>
  </si>
  <si>
    <t>Код</t>
  </si>
  <si>
    <t>Наименование подппрограмм</t>
  </si>
  <si>
    <t>Источник финансирования</t>
  </si>
  <si>
    <t>Всего по МП "Развитие образования"</t>
  </si>
  <si>
    <t>Всего по источникам:</t>
  </si>
  <si>
    <t xml:space="preserve">7010000000
</t>
  </si>
  <si>
    <t xml:space="preserve">7020000000
</t>
  </si>
  <si>
    <t xml:space="preserve">7030000000
</t>
  </si>
  <si>
    <t xml:space="preserve">Приложение 2
к изменениям в муниципальную программу "Развитие образования ЗАТО  Видяево"  
</t>
  </si>
  <si>
    <t xml:space="preserve">Приложение 1  
к изменениям в муниципальную программу "Развитие образования ЗАТО  Видяево"  
</t>
  </si>
  <si>
    <t>МБДОУ №1 ЗАТО Видяево</t>
  </si>
  <si>
    <t xml:space="preserve">Приложение 3
к изменениям в муниципальную программу "Развитие образования ЗАТО  Видяево"  
</t>
  </si>
  <si>
    <t>51,5</t>
  </si>
  <si>
    <t>99,6</t>
  </si>
  <si>
    <t>80</t>
  </si>
  <si>
    <t>98,6</t>
  </si>
  <si>
    <t>56</t>
  </si>
  <si>
    <t>МБОО ДО Олимп ЗАТО Видяево</t>
  </si>
  <si>
    <t>МБОО ДО «Олимп» ЗАТО Видяево</t>
  </si>
  <si>
    <t>МБДОУ №2 ЗАТО Видяево</t>
  </si>
  <si>
    <t>61</t>
  </si>
  <si>
    <t>84</t>
  </si>
  <si>
    <t>Доля победителей и призеров от числа участников конкурсов муниципального, областного, регионального и всероссийского  уровней, %</t>
  </si>
  <si>
    <t>Количество мероприятий,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молодежи, Ед.</t>
  </si>
  <si>
    <t>Доля детей и подростков, состоящих на учетах в КДН и ЗП и подразделениях по делам несовершеннолетних органов внутренних дел, от общего числа детей в ЗАТО Видяево, на конец отчетного периода, %</t>
  </si>
  <si>
    <t>Доля детей и подростков из семей, состоящих на учетах в КДН и ЗП и подразделениях по делам несовершеннолетних органов внутренних дел, от числа всех детей ЗАТО Видяево, на конец отчетного периода,  %</t>
  </si>
  <si>
    <t>(в редакции от 31.12.2013 №813, от 12.03.2014 №112, от 11.04.2014 №169, от 21.05.2014 №254, от 28.05.2014 №265, от 05,09,2014 №406, от 05.11.2014 №502, от 02.12.2014 №573,  от 15.12.2014 №601, от 30.12.2014№653, от 26.06.2015 №322, от 27.07.2015 № 355, от 24.11.2015 №517,  от 30.12.2015 №606, от 28.03.2016 № 232, от 04.05.2016 № 326, от 02.06.2016 №406, от 03.08.2016_№497, от 22.09.2016 №594, от 14.11.2016 №725,от  26.12.2016 № 851, от 10/02/2017 №96, от 03.05.2017 №302, от 23.08.2017 № 487, от 13.12.2017№748, от 29.05.2018 № 484, от __.06.2018 №____)</t>
  </si>
  <si>
    <t>Ремонт пищеблока МБОУ СОШ ЗАТО Видяево (корпус №1 и №2)</t>
  </si>
  <si>
    <t>Доля образовательных организаций, в которых устранены предписания надзорных органов, от числа образовательных организаций, имеющих неустраненные предписания, которым предусмотрена субсидия</t>
  </si>
  <si>
    <t>Доля проведенных работ по обеспечению комплексной безопасности образовательных организаций в общем объеме запланированных работ по обеспечению комплексной безопасности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</si>
</sst>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  <numFmt numFmtId="179" formatCode="0.000"/>
    <numFmt numFmtId="180" formatCode="0.0%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sz val="8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center" vertical="center" wrapText="1"/>
      <protection/>
    </xf>
    <xf numFmtId="49" fontId="38" fillId="0" borderId="1">
      <alignment horizontal="left"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51">
    <xf numFmtId="0" fontId="0" fillId="0" borderId="0" xfId="0" applyFont="1" applyAlignment="1">
      <alignment/>
    </xf>
    <xf numFmtId="0" fontId="57" fillId="0" borderId="0" xfId="0" applyFont="1" applyAlignment="1">
      <alignment readingOrder="1"/>
    </xf>
    <xf numFmtId="49" fontId="57" fillId="0" borderId="0" xfId="0" applyNumberFormat="1" applyFont="1" applyAlignment="1">
      <alignment readingOrder="1"/>
    </xf>
    <xf numFmtId="0" fontId="57" fillId="0" borderId="0" xfId="0" applyFont="1" applyAlignment="1">
      <alignment horizontal="center" readingOrder="1"/>
    </xf>
    <xf numFmtId="0" fontId="57" fillId="0" borderId="0" xfId="0" applyFont="1" applyAlignment="1">
      <alignment horizontal="left" readingOrder="1"/>
    </xf>
    <xf numFmtId="0" fontId="58" fillId="0" borderId="0" xfId="0" applyFont="1" applyAlignment="1">
      <alignment horizontal="left" readingOrder="1"/>
    </xf>
    <xf numFmtId="49" fontId="57" fillId="0" borderId="0" xfId="0" applyNumberFormat="1" applyFont="1" applyAlignment="1">
      <alignment horizontal="center" readingOrder="1"/>
    </xf>
    <xf numFmtId="49" fontId="58" fillId="0" borderId="0" xfId="0" applyNumberFormat="1" applyFont="1" applyAlignment="1">
      <alignment horizontal="center" readingOrder="1"/>
    </xf>
    <xf numFmtId="49" fontId="59" fillId="0" borderId="11" xfId="0" applyNumberFormat="1" applyFont="1" applyBorder="1" applyAlignment="1">
      <alignment horizontal="center" vertical="center" wrapText="1" readingOrder="1"/>
    </xf>
    <xf numFmtId="0" fontId="60" fillId="0" borderId="0" xfId="0" applyFont="1" applyAlignment="1">
      <alignment wrapText="1" readingOrder="1"/>
    </xf>
    <xf numFmtId="0" fontId="61" fillId="0" borderId="0" xfId="0" applyFont="1" applyAlignment="1">
      <alignment readingOrder="1"/>
    </xf>
    <xf numFmtId="0" fontId="60" fillId="0" borderId="0" xfId="0" applyFont="1" applyAlignment="1">
      <alignment readingOrder="1"/>
    </xf>
    <xf numFmtId="0" fontId="62" fillId="0" borderId="0" xfId="0" applyFont="1" applyAlignment="1">
      <alignment horizontal="right"/>
    </xf>
    <xf numFmtId="49" fontId="62" fillId="0" borderId="11" xfId="0" applyNumberFormat="1" applyFont="1" applyBorder="1" applyAlignment="1">
      <alignment horizontal="center" vertical="top" wrapText="1"/>
    </xf>
    <xf numFmtId="0" fontId="62" fillId="0" borderId="11" xfId="0" applyNumberFormat="1" applyFont="1" applyBorder="1" applyAlignment="1">
      <alignment horizontal="center" vertical="center" wrapText="1" readingOrder="1"/>
    </xf>
    <xf numFmtId="0" fontId="63" fillId="0" borderId="0" xfId="0" applyFont="1" applyAlignment="1">
      <alignment readingOrder="1"/>
    </xf>
    <xf numFmtId="49" fontId="59" fillId="0" borderId="11" xfId="0" applyNumberFormat="1" applyFont="1" applyBorder="1" applyAlignment="1">
      <alignment horizontal="center" wrapText="1" readingOrder="1"/>
    </xf>
    <xf numFmtId="0" fontId="62" fillId="0" borderId="12" xfId="0" applyFont="1" applyBorder="1" applyAlignment="1">
      <alignment vertical="top" wrapText="1"/>
    </xf>
    <xf numFmtId="0" fontId="59" fillId="0" borderId="13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49" fontId="59" fillId="0" borderId="11" xfId="0" applyNumberFormat="1" applyFont="1" applyBorder="1" applyAlignment="1">
      <alignment horizontal="center" vertical="top" wrapText="1"/>
    </xf>
    <xf numFmtId="49" fontId="59" fillId="0" borderId="11" xfId="0" applyNumberFormat="1" applyFont="1" applyBorder="1" applyAlignment="1">
      <alignment horizontal="center" vertical="center" wrapText="1"/>
    </xf>
    <xf numFmtId="0" fontId="62" fillId="0" borderId="12" xfId="0" applyNumberFormat="1" applyFont="1" applyBorder="1" applyAlignment="1">
      <alignment horizontal="center" vertical="center" wrapText="1" readingOrder="1"/>
    </xf>
    <xf numFmtId="49" fontId="62" fillId="0" borderId="15" xfId="0" applyNumberFormat="1" applyFont="1" applyBorder="1" applyAlignment="1">
      <alignment horizontal="left" vertical="top" wrapText="1" readingOrder="1"/>
    </xf>
    <xf numFmtId="0" fontId="62" fillId="0" borderId="11" xfId="0" applyNumberFormat="1" applyFont="1" applyBorder="1" applyAlignment="1">
      <alignment horizontal="center" vertical="center" wrapText="1" readingOrder="1"/>
    </xf>
    <xf numFmtId="49" fontId="60" fillId="0" borderId="0" xfId="0" applyNumberFormat="1" applyFont="1" applyAlignment="1">
      <alignment readingOrder="1"/>
    </xf>
    <xf numFmtId="0" fontId="60" fillId="0" borderId="0" xfId="0" applyFont="1" applyAlignment="1">
      <alignment horizontal="center" readingOrder="1"/>
    </xf>
    <xf numFmtId="0" fontId="60" fillId="0" borderId="0" xfId="0" applyFont="1" applyAlignment="1">
      <alignment horizontal="left" readingOrder="1"/>
    </xf>
    <xf numFmtId="49" fontId="60" fillId="0" borderId="0" xfId="0" applyNumberFormat="1" applyFont="1" applyAlignment="1">
      <alignment horizontal="center" readingOrder="1"/>
    </xf>
    <xf numFmtId="0" fontId="60" fillId="0" borderId="0" xfId="0" applyFont="1" applyAlignment="1">
      <alignment/>
    </xf>
    <xf numFmtId="178" fontId="62" fillId="0" borderId="11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49" fontId="59" fillId="0" borderId="16" xfId="0" applyNumberFormat="1" applyFont="1" applyBorder="1" applyAlignment="1">
      <alignment horizontal="center" readingOrder="1"/>
    </xf>
    <xf numFmtId="0" fontId="59" fillId="0" borderId="11" xfId="0" applyFont="1" applyBorder="1" applyAlignment="1">
      <alignment horizontal="center" vertical="center" wrapText="1"/>
    </xf>
    <xf numFmtId="178" fontId="59" fillId="33" borderId="11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 readingOrder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readingOrder="1"/>
    </xf>
    <xf numFmtId="178" fontId="62" fillId="0" borderId="22" xfId="0" applyNumberFormat="1" applyFont="1" applyBorder="1" applyAlignment="1">
      <alignment horizontal="center" vertical="center" wrapText="1"/>
    </xf>
    <xf numFmtId="178" fontId="62" fillId="0" borderId="23" xfId="0" applyNumberFormat="1" applyFont="1" applyBorder="1" applyAlignment="1">
      <alignment horizontal="center" vertical="center" wrapText="1"/>
    </xf>
    <xf numFmtId="178" fontId="62" fillId="0" borderId="24" xfId="0" applyNumberFormat="1" applyFont="1" applyBorder="1" applyAlignment="1">
      <alignment horizontal="center" vertical="center" wrapText="1"/>
    </xf>
    <xf numFmtId="178" fontId="59" fillId="0" borderId="25" xfId="0" applyNumberFormat="1" applyFont="1" applyBorder="1" applyAlignment="1">
      <alignment horizontal="center" vertical="center" wrapText="1"/>
    </xf>
    <xf numFmtId="178" fontId="59" fillId="0" borderId="26" xfId="0" applyNumberFormat="1" applyFont="1" applyBorder="1" applyAlignment="1">
      <alignment horizontal="center" vertical="center" wrapText="1"/>
    </xf>
    <xf numFmtId="178" fontId="59" fillId="0" borderId="27" xfId="0" applyNumberFormat="1" applyFont="1" applyBorder="1" applyAlignment="1">
      <alignment horizontal="center" vertical="center" wrapText="1"/>
    </xf>
    <xf numFmtId="178" fontId="59" fillId="0" borderId="28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top" wrapText="1" readingOrder="1"/>
    </xf>
    <xf numFmtId="0" fontId="57" fillId="0" borderId="0" xfId="0" applyFont="1" applyAlignment="1">
      <alignment horizontal="center" vertical="top" readingOrder="1"/>
    </xf>
    <xf numFmtId="0" fontId="60" fillId="0" borderId="0" xfId="0" applyFont="1" applyAlignment="1">
      <alignment horizontal="left" vertical="center" wrapText="1" readingOrder="1"/>
    </xf>
    <xf numFmtId="0" fontId="57" fillId="0" borderId="0" xfId="0" applyFont="1" applyAlignment="1">
      <alignment horizontal="left" vertical="center" readingOrder="1"/>
    </xf>
    <xf numFmtId="0" fontId="60" fillId="0" borderId="0" xfId="0" applyFont="1" applyFill="1" applyAlignment="1">
      <alignment vertical="center"/>
    </xf>
    <xf numFmtId="0" fontId="60" fillId="0" borderId="0" xfId="0" applyFont="1" applyBorder="1" applyAlignment="1">
      <alignment/>
    </xf>
    <xf numFmtId="0" fontId="62" fillId="0" borderId="0" xfId="0" applyFont="1" applyBorder="1" applyAlignment="1">
      <alignment vertical="top" wrapText="1"/>
    </xf>
    <xf numFmtId="178" fontId="59" fillId="13" borderId="11" xfId="0" applyNumberFormat="1" applyFont="1" applyFill="1" applyBorder="1" applyAlignment="1">
      <alignment horizontal="center" vertical="center"/>
    </xf>
    <xf numFmtId="178" fontId="62" fillId="13" borderId="11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vertical="top" wrapText="1" readingOrder="1"/>
    </xf>
    <xf numFmtId="178" fontId="62" fillId="33" borderId="11" xfId="0" applyNumberFormat="1" applyFont="1" applyFill="1" applyBorder="1" applyAlignment="1">
      <alignment horizontal="center" vertical="center" wrapText="1"/>
    </xf>
    <xf numFmtId="178" fontId="59" fillId="33" borderId="11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/>
    </xf>
    <xf numFmtId="178" fontId="62" fillId="33" borderId="11" xfId="0" applyNumberFormat="1" applyFont="1" applyFill="1" applyBorder="1" applyAlignment="1">
      <alignment horizontal="center" vertical="center"/>
    </xf>
    <xf numFmtId="178" fontId="60" fillId="0" borderId="0" xfId="0" applyNumberFormat="1" applyFont="1" applyAlignment="1">
      <alignment/>
    </xf>
    <xf numFmtId="178" fontId="59" fillId="13" borderId="11" xfId="0" applyNumberFormat="1" applyFont="1" applyFill="1" applyBorder="1" applyAlignment="1">
      <alignment horizontal="center" vertical="center" wrapText="1"/>
    </xf>
    <xf numFmtId="178" fontId="62" fillId="13" borderId="11" xfId="0" applyNumberFormat="1" applyFont="1" applyFill="1" applyBorder="1" applyAlignment="1">
      <alignment horizontal="center" vertical="center" wrapText="1"/>
    </xf>
    <xf numFmtId="1" fontId="60" fillId="0" borderId="0" xfId="0" applyNumberFormat="1" applyFont="1" applyAlignment="1">
      <alignment/>
    </xf>
    <xf numFmtId="178" fontId="62" fillId="33" borderId="11" xfId="0" applyNumberFormat="1" applyFont="1" applyFill="1" applyBorder="1" applyAlignment="1">
      <alignment horizontal="center" vertical="center" wrapText="1"/>
    </xf>
    <xf numFmtId="49" fontId="62" fillId="0" borderId="16" xfId="0" applyNumberFormat="1" applyFont="1" applyBorder="1" applyAlignment="1">
      <alignment horizontal="left" vertical="center" wrapText="1" readingOrder="1"/>
    </xf>
    <xf numFmtId="9" fontId="62" fillId="0" borderId="16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vertical="top" wrapText="1"/>
    </xf>
    <xf numFmtId="178" fontId="62" fillId="0" borderId="11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12" xfId="0" applyNumberFormat="1" applyFont="1" applyBorder="1" applyAlignment="1">
      <alignment horizontal="center" vertical="center" wrapText="1" readingOrder="1"/>
    </xf>
    <xf numFmtId="0" fontId="59" fillId="0" borderId="11" xfId="0" applyFont="1" applyBorder="1" applyAlignment="1">
      <alignment horizontal="center" wrapText="1"/>
    </xf>
    <xf numFmtId="178" fontId="62" fillId="33" borderId="29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Border="1" applyAlignment="1">
      <alignment vertical="center" wrapText="1"/>
    </xf>
    <xf numFmtId="178" fontId="62" fillId="0" borderId="11" xfId="0" applyNumberFormat="1" applyFont="1" applyBorder="1" applyAlignment="1">
      <alignment vertical="center" wrapText="1" readingOrder="1"/>
    </xf>
    <xf numFmtId="0" fontId="62" fillId="0" borderId="0" xfId="0" applyFont="1" applyAlignment="1">
      <alignment horizontal="center" wrapText="1"/>
    </xf>
    <xf numFmtId="49" fontId="62" fillId="0" borderId="16" xfId="0" applyNumberFormat="1" applyFont="1" applyBorder="1" applyAlignment="1">
      <alignment vertical="top" wrapText="1" readingOrder="1"/>
    </xf>
    <xf numFmtId="49" fontId="62" fillId="0" borderId="11" xfId="0" applyNumberFormat="1" applyFont="1" applyBorder="1" applyAlignment="1">
      <alignment vertical="top" wrapText="1" readingOrder="1"/>
    </xf>
    <xf numFmtId="178" fontId="62" fillId="0" borderId="12" xfId="0" applyNumberFormat="1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 readingOrder="1"/>
    </xf>
    <xf numFmtId="49" fontId="62" fillId="0" borderId="12" xfId="0" applyNumberFormat="1" applyFont="1" applyBorder="1" applyAlignment="1">
      <alignment horizontal="center" vertical="top" wrapText="1" readingOrder="1"/>
    </xf>
    <xf numFmtId="0" fontId="62" fillId="0" borderId="16" xfId="0" applyFont="1" applyBorder="1" applyAlignment="1">
      <alignment horizontal="center" vertical="top" wrapText="1"/>
    </xf>
    <xf numFmtId="49" fontId="62" fillId="0" borderId="11" xfId="0" applyNumberFormat="1" applyFont="1" applyBorder="1" applyAlignment="1">
      <alignment horizontal="center" vertical="top" wrapText="1" readingOrder="1"/>
    </xf>
    <xf numFmtId="0" fontId="62" fillId="0" borderId="11" xfId="0" applyFont="1" applyBorder="1" applyAlignment="1">
      <alignment vertical="top" wrapText="1"/>
    </xf>
    <xf numFmtId="0" fontId="62" fillId="0" borderId="12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center" vertical="top" wrapText="1" readingOrder="1"/>
    </xf>
    <xf numFmtId="178" fontId="62" fillId="0" borderId="11" xfId="0" applyNumberFormat="1" applyFont="1" applyBorder="1" applyAlignment="1">
      <alignment horizontal="center" vertical="center" wrapText="1" readingOrder="1"/>
    </xf>
    <xf numFmtId="178" fontId="62" fillId="0" borderId="15" xfId="0" applyNumberFormat="1" applyFont="1" applyBorder="1" applyAlignment="1">
      <alignment horizontal="center" vertical="center" wrapText="1" readingOrder="1"/>
    </xf>
    <xf numFmtId="49" fontId="62" fillId="0" borderId="11" xfId="0" applyNumberFormat="1" applyFont="1" applyBorder="1" applyAlignment="1">
      <alignment horizontal="left" vertical="top" wrapText="1" readingOrder="1"/>
    </xf>
    <xf numFmtId="49" fontId="62" fillId="0" borderId="11" xfId="0" applyNumberFormat="1" applyFont="1" applyBorder="1" applyAlignment="1">
      <alignment horizontal="center" vertical="top" readingOrder="1"/>
    </xf>
    <xf numFmtId="49" fontId="62" fillId="0" borderId="12" xfId="0" applyNumberFormat="1" applyFont="1" applyBorder="1" applyAlignment="1">
      <alignment horizontal="center" vertical="top" readingOrder="1"/>
    </xf>
    <xf numFmtId="49" fontId="62" fillId="0" borderId="16" xfId="0" applyNumberFormat="1" applyFont="1" applyBorder="1" applyAlignment="1">
      <alignment horizontal="center" vertical="top" readingOrder="1"/>
    </xf>
    <xf numFmtId="178" fontId="57" fillId="0" borderId="0" xfId="0" applyNumberFormat="1" applyFont="1" applyAlignment="1">
      <alignment horizontal="center" vertical="center" readingOrder="1"/>
    </xf>
    <xf numFmtId="49" fontId="59" fillId="0" borderId="16" xfId="0" applyNumberFormat="1" applyFont="1" applyBorder="1" applyAlignment="1">
      <alignment horizontal="center" vertical="center" wrapText="1" readingOrder="1"/>
    </xf>
    <xf numFmtId="49" fontId="62" fillId="0" borderId="30" xfId="0" applyNumberFormat="1" applyFont="1" applyBorder="1" applyAlignment="1">
      <alignment horizontal="center" vertical="top" wrapText="1" readingOrder="1"/>
    </xf>
    <xf numFmtId="49" fontId="59" fillId="0" borderId="31" xfId="0" applyNumberFormat="1" applyFont="1" applyBorder="1" applyAlignment="1">
      <alignment horizontal="left" vertical="top" wrapText="1" readingOrder="1"/>
    </xf>
    <xf numFmtId="49" fontId="62" fillId="0" borderId="31" xfId="0" applyNumberFormat="1" applyFont="1" applyBorder="1" applyAlignment="1">
      <alignment horizontal="center" vertical="top" wrapText="1" readingOrder="1"/>
    </xf>
    <xf numFmtId="0" fontId="62" fillId="0" borderId="11" xfId="0" applyFont="1" applyBorder="1" applyAlignment="1">
      <alignment horizontal="left" vertical="top" wrapText="1"/>
    </xf>
    <xf numFmtId="178" fontId="59" fillId="0" borderId="11" xfId="0" applyNumberFormat="1" applyFont="1" applyBorder="1" applyAlignment="1">
      <alignment horizontal="center" vertical="center" wrapText="1" readingOrder="1"/>
    </xf>
    <xf numFmtId="49" fontId="62" fillId="0" borderId="12" xfId="0" applyNumberFormat="1" applyFont="1" applyBorder="1" applyAlignment="1">
      <alignment horizontal="left" vertical="top" wrapText="1" readingOrder="1"/>
    </xf>
    <xf numFmtId="49" fontId="62" fillId="0" borderId="11" xfId="0" applyNumberFormat="1" applyFont="1" applyBorder="1" applyAlignment="1">
      <alignment horizontal="left" vertical="top" wrapText="1" readingOrder="1"/>
    </xf>
    <xf numFmtId="178" fontId="62" fillId="0" borderId="11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0" fontId="62" fillId="0" borderId="11" xfId="0" applyFont="1" applyBorder="1" applyAlignment="1">
      <alignment vertical="top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178" fontId="62" fillId="0" borderId="11" xfId="0" applyNumberFormat="1" applyFont="1" applyBorder="1" applyAlignment="1">
      <alignment horizontal="center" vertical="top" wrapText="1"/>
    </xf>
    <xf numFmtId="49" fontId="59" fillId="0" borderId="11" xfId="0" applyNumberFormat="1" applyFont="1" applyBorder="1" applyAlignment="1">
      <alignment horizontal="left" vertical="top" wrapText="1"/>
    </xf>
    <xf numFmtId="49" fontId="59" fillId="0" borderId="32" xfId="0" applyNumberFormat="1" applyFont="1" applyBorder="1" applyAlignment="1">
      <alignment horizontal="left" vertical="center" wrapText="1" readingOrder="1"/>
    </xf>
    <xf numFmtId="49" fontId="62" fillId="0" borderId="33" xfId="0" applyNumberFormat="1" applyFont="1" applyBorder="1" applyAlignment="1">
      <alignment horizontal="center" vertical="center" wrapText="1" readingOrder="1"/>
    </xf>
    <xf numFmtId="49" fontId="59" fillId="0" borderId="12" xfId="0" applyNumberFormat="1" applyFont="1" applyBorder="1" applyAlignment="1">
      <alignment horizontal="center" vertical="center" wrapText="1"/>
    </xf>
    <xf numFmtId="49" fontId="59" fillId="0" borderId="12" xfId="0" applyNumberFormat="1" applyFont="1" applyBorder="1" applyAlignment="1">
      <alignment horizontal="left" vertical="top" wrapText="1"/>
    </xf>
    <xf numFmtId="0" fontId="59" fillId="0" borderId="34" xfId="0" applyFont="1" applyBorder="1" applyAlignment="1">
      <alignment horizontal="left" vertical="top" wrapText="1"/>
    </xf>
    <xf numFmtId="0" fontId="59" fillId="0" borderId="11" xfId="0" applyFont="1" applyBorder="1" applyAlignment="1">
      <alignment horizontal="left" vertical="center" wrapText="1"/>
    </xf>
    <xf numFmtId="0" fontId="59" fillId="0" borderId="35" xfId="0" applyFont="1" applyBorder="1" applyAlignment="1">
      <alignment horizontal="left" vertical="center" wrapText="1"/>
    </xf>
    <xf numFmtId="0" fontId="62" fillId="0" borderId="36" xfId="0" applyFont="1" applyBorder="1" applyAlignment="1">
      <alignment horizontal="center" vertical="center" wrapText="1"/>
    </xf>
    <xf numFmtId="178" fontId="58" fillId="0" borderId="11" xfId="0" applyNumberFormat="1" applyFont="1" applyBorder="1" applyAlignment="1">
      <alignment horizontal="center" readingOrder="1"/>
    </xf>
    <xf numFmtId="0" fontId="58" fillId="0" borderId="11" xfId="0" applyFont="1" applyBorder="1" applyAlignment="1">
      <alignment horizontal="center" readingOrder="1"/>
    </xf>
    <xf numFmtId="178" fontId="62" fillId="0" borderId="11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top" wrapText="1"/>
    </xf>
    <xf numFmtId="49" fontId="59" fillId="0" borderId="11" xfId="0" applyNumberFormat="1" applyFont="1" applyBorder="1" applyAlignment="1">
      <alignment horizontal="left" vertical="top" wrapText="1"/>
    </xf>
    <xf numFmtId="178" fontId="62" fillId="0" borderId="11" xfId="0" applyNumberFormat="1" applyFont="1" applyBorder="1" applyAlignment="1">
      <alignment horizontal="center" vertical="top" wrapText="1"/>
    </xf>
    <xf numFmtId="178" fontId="59" fillId="0" borderId="37" xfId="0" applyNumberFormat="1" applyFont="1" applyBorder="1" applyAlignment="1">
      <alignment horizontal="center" vertical="top" wrapText="1"/>
    </xf>
    <xf numFmtId="0" fontId="58" fillId="0" borderId="33" xfId="0" applyFont="1" applyBorder="1" applyAlignment="1">
      <alignment horizontal="center" readingOrder="1"/>
    </xf>
    <xf numFmtId="9" fontId="62" fillId="0" borderId="11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wrapText="1" readingOrder="1"/>
    </xf>
    <xf numFmtId="0" fontId="62" fillId="0" borderId="11" xfId="0" applyFont="1" applyBorder="1" applyAlignment="1">
      <alignment horizontal="center" wrapText="1"/>
    </xf>
    <xf numFmtId="178" fontId="62" fillId="33" borderId="11" xfId="0" applyNumberFormat="1" applyFont="1" applyFill="1" applyBorder="1" applyAlignment="1">
      <alignment horizontal="center" vertical="center" wrapText="1" readingOrder="1"/>
    </xf>
    <xf numFmtId="178" fontId="59" fillId="33" borderId="11" xfId="0" applyNumberFormat="1" applyFont="1" applyFill="1" applyBorder="1" applyAlignment="1">
      <alignment horizontal="center" vertical="center" wrapText="1" readingOrder="1"/>
    </xf>
    <xf numFmtId="0" fontId="62" fillId="0" borderId="38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left" vertical="center" wrapText="1"/>
    </xf>
    <xf numFmtId="49" fontId="62" fillId="0" borderId="11" xfId="60" applyNumberFormat="1" applyFont="1" applyBorder="1" applyAlignment="1">
      <alignment horizontal="center" vertical="center" wrapText="1" readingOrder="1"/>
    </xf>
    <xf numFmtId="0" fontId="59" fillId="0" borderId="12" xfId="0" applyFont="1" applyBorder="1" applyAlignment="1">
      <alignment vertical="top" wrapText="1"/>
    </xf>
    <xf numFmtId="0" fontId="62" fillId="0" borderId="16" xfId="0" applyFont="1" applyBorder="1" applyAlignment="1">
      <alignment vertical="top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178" fontId="59" fillId="0" borderId="12" xfId="0" applyNumberFormat="1" applyFont="1" applyBorder="1" applyAlignment="1">
      <alignment horizontal="center" vertical="center" wrapText="1" readingOrder="1"/>
    </xf>
    <xf numFmtId="178" fontId="59" fillId="0" borderId="29" xfId="0" applyNumberFormat="1" applyFont="1" applyBorder="1" applyAlignment="1">
      <alignment horizontal="center" vertical="center" wrapText="1" readingOrder="1"/>
    </xf>
    <xf numFmtId="178" fontId="59" fillId="0" borderId="16" xfId="0" applyNumberFormat="1" applyFont="1" applyBorder="1" applyAlignment="1">
      <alignment horizontal="center" vertical="center" wrapText="1" readingOrder="1"/>
    </xf>
    <xf numFmtId="0" fontId="62" fillId="0" borderId="12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 readingOrder="1"/>
    </xf>
    <xf numFmtId="178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49" fontId="62" fillId="0" borderId="11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 readingOrder="1"/>
    </xf>
    <xf numFmtId="178" fontId="62" fillId="0" borderId="11" xfId="0" applyNumberFormat="1" applyFont="1" applyBorder="1" applyAlignment="1">
      <alignment horizontal="center" vertical="center" wrapText="1" readingOrder="1"/>
    </xf>
    <xf numFmtId="178" fontId="62" fillId="0" borderId="29" xfId="0" applyNumberFormat="1" applyFont="1" applyBorder="1" applyAlignment="1">
      <alignment horizontal="center" vertical="center" wrapText="1" readingOrder="1"/>
    </xf>
    <xf numFmtId="49" fontId="62" fillId="0" borderId="12" xfId="0" applyNumberFormat="1" applyFont="1" applyBorder="1" applyAlignment="1">
      <alignment horizontal="center" vertical="center" wrapText="1" readingOrder="1"/>
    </xf>
    <xf numFmtId="178" fontId="62" fillId="0" borderId="12" xfId="0" applyNumberFormat="1" applyFont="1" applyBorder="1" applyAlignment="1">
      <alignment horizontal="center" vertical="center" wrapText="1"/>
    </xf>
    <xf numFmtId="178" fontId="59" fillId="0" borderId="11" xfId="0" applyNumberFormat="1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top" wrapText="1" readingOrder="1"/>
    </xf>
    <xf numFmtId="0" fontId="0" fillId="0" borderId="29" xfId="0" applyBorder="1" applyAlignment="1">
      <alignment horizontal="center" vertical="top" wrapText="1" readingOrder="1"/>
    </xf>
    <xf numFmtId="0" fontId="62" fillId="0" borderId="29" xfId="0" applyFont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/>
    </xf>
    <xf numFmtId="178" fontId="62" fillId="0" borderId="29" xfId="0" applyNumberFormat="1" applyFont="1" applyBorder="1" applyAlignment="1">
      <alignment horizontal="center" vertical="center" wrapText="1"/>
    </xf>
    <xf numFmtId="9" fontId="62" fillId="0" borderId="11" xfId="0" applyNumberFormat="1" applyFont="1" applyBorder="1" applyAlignment="1">
      <alignment horizontal="center" vertical="center" wrapText="1" readingOrder="1"/>
    </xf>
    <xf numFmtId="0" fontId="59" fillId="0" borderId="11" xfId="0" applyFont="1" applyBorder="1" applyAlignment="1">
      <alignment vertical="top" wrapText="1"/>
    </xf>
    <xf numFmtId="0" fontId="62" fillId="0" borderId="39" xfId="0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left" vertical="center" wrapText="1" readingOrder="1"/>
    </xf>
    <xf numFmtId="0" fontId="62" fillId="0" borderId="16" xfId="0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top" wrapText="1" readingOrder="1"/>
    </xf>
    <xf numFmtId="178" fontId="59" fillId="0" borderId="11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vertical="top" wrapText="1"/>
    </xf>
    <xf numFmtId="178" fontId="59" fillId="0" borderId="12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left" vertical="top" wrapText="1" readingOrder="1"/>
    </xf>
    <xf numFmtId="178" fontId="62" fillId="33" borderId="29" xfId="0" applyNumberFormat="1" applyFont="1" applyFill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 readingOrder="1"/>
    </xf>
    <xf numFmtId="0" fontId="62" fillId="0" borderId="12" xfId="0" applyFont="1" applyBorder="1" applyAlignment="1">
      <alignment horizontal="left" vertical="center" wrapText="1" readingOrder="1"/>
    </xf>
    <xf numFmtId="0" fontId="62" fillId="0" borderId="16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center" wrapText="1" readingOrder="1"/>
    </xf>
    <xf numFmtId="0" fontId="62" fillId="0" borderId="15" xfId="0" applyFont="1" applyBorder="1" applyAlignment="1">
      <alignment horizontal="center" vertical="top" wrapText="1"/>
    </xf>
    <xf numFmtId="178" fontId="62" fillId="34" borderId="11" xfId="0" applyNumberFormat="1" applyFont="1" applyFill="1" applyBorder="1" applyAlignment="1">
      <alignment horizontal="center" vertical="top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178" fontId="59" fillId="0" borderId="29" xfId="0" applyNumberFormat="1" applyFont="1" applyBorder="1" applyAlignment="1">
      <alignment horizontal="center" vertical="center" wrapText="1" readingOrder="1"/>
    </xf>
    <xf numFmtId="178" fontId="59" fillId="0" borderId="16" xfId="0" applyNumberFormat="1" applyFont="1" applyBorder="1" applyAlignment="1">
      <alignment horizontal="center" vertical="center" wrapText="1" readingOrder="1"/>
    </xf>
    <xf numFmtId="0" fontId="62" fillId="0" borderId="12" xfId="0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 readingOrder="1"/>
    </xf>
    <xf numFmtId="178" fontId="62" fillId="0" borderId="29" xfId="0" applyNumberFormat="1" applyFont="1" applyBorder="1" applyAlignment="1">
      <alignment horizontal="center" vertical="center" wrapText="1" readingOrder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178" fontId="62" fillId="0" borderId="29" xfId="0" applyNumberFormat="1" applyFont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 readingOrder="1"/>
    </xf>
    <xf numFmtId="9" fontId="62" fillId="0" borderId="11" xfId="0" applyNumberFormat="1" applyFont="1" applyBorder="1" applyAlignment="1">
      <alignment horizontal="center" vertical="center" wrapText="1" readingOrder="1"/>
    </xf>
    <xf numFmtId="0" fontId="59" fillId="0" borderId="11" xfId="0" applyFont="1" applyBorder="1" applyAlignment="1">
      <alignment vertical="top" wrapText="1"/>
    </xf>
    <xf numFmtId="178" fontId="59" fillId="0" borderId="11" xfId="0" applyNumberFormat="1" applyFont="1" applyBorder="1" applyAlignment="1">
      <alignment horizontal="center" vertical="center" wrapText="1" readingOrder="1"/>
    </xf>
    <xf numFmtId="49" fontId="62" fillId="0" borderId="11" xfId="0" applyNumberFormat="1" applyFont="1" applyBorder="1" applyAlignment="1">
      <alignment horizontal="center" vertical="top" wrapText="1" readingOrder="1"/>
    </xf>
    <xf numFmtId="0" fontId="62" fillId="0" borderId="11" xfId="0" applyFont="1" applyBorder="1" applyAlignment="1">
      <alignment vertical="top" wrapText="1"/>
    </xf>
    <xf numFmtId="178" fontId="59" fillId="0" borderId="12" xfId="0" applyNumberFormat="1" applyFont="1" applyBorder="1" applyAlignment="1">
      <alignment horizontal="center" vertical="center" wrapText="1"/>
    </xf>
    <xf numFmtId="178" fontId="62" fillId="33" borderId="29" xfId="0" applyNumberFormat="1" applyFont="1" applyFill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vertical="top" wrapText="1" readingOrder="1"/>
    </xf>
    <xf numFmtId="0" fontId="62" fillId="0" borderId="16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center" wrapText="1" readingOrder="1"/>
    </xf>
    <xf numFmtId="178" fontId="62" fillId="33" borderId="11" xfId="0" applyNumberFormat="1" applyFont="1" applyFill="1" applyBorder="1" applyAlignment="1">
      <alignment horizontal="center" vertical="center" wrapText="1"/>
    </xf>
    <xf numFmtId="2" fontId="59" fillId="0" borderId="11" xfId="0" applyNumberFormat="1" applyFont="1" applyBorder="1" applyAlignment="1">
      <alignment horizontal="center" vertical="center" wrapText="1" readingOrder="1"/>
    </xf>
    <xf numFmtId="178" fontId="59" fillId="34" borderId="11" xfId="0" applyNumberFormat="1" applyFont="1" applyFill="1" applyBorder="1" applyAlignment="1">
      <alignment horizontal="center" vertical="center" wrapText="1"/>
    </xf>
    <xf numFmtId="178" fontId="62" fillId="34" borderId="11" xfId="0" applyNumberFormat="1" applyFont="1" applyFill="1" applyBorder="1" applyAlignment="1">
      <alignment horizontal="center" vertical="center" wrapText="1"/>
    </xf>
    <xf numFmtId="178" fontId="62" fillId="34" borderId="12" xfId="0" applyNumberFormat="1" applyFont="1" applyFill="1" applyBorder="1" applyAlignment="1">
      <alignment horizontal="center" vertical="center" wrapText="1" readingOrder="1"/>
    </xf>
    <xf numFmtId="178" fontId="62" fillId="0" borderId="12" xfId="0" applyNumberFormat="1" applyFont="1" applyFill="1" applyBorder="1" applyAlignment="1">
      <alignment horizontal="center" vertical="center" wrapText="1" readingOrder="1"/>
    </xf>
    <xf numFmtId="178" fontId="62" fillId="0" borderId="29" xfId="0" applyNumberFormat="1" applyFont="1" applyFill="1" applyBorder="1" applyAlignment="1">
      <alignment horizontal="center" vertical="center" wrapText="1" readingOrder="1"/>
    </xf>
    <xf numFmtId="178" fontId="59" fillId="0" borderId="40" xfId="0" applyNumberFormat="1" applyFont="1" applyFill="1" applyBorder="1" applyAlignment="1">
      <alignment horizontal="center" vertical="top" wrapText="1"/>
    </xf>
    <xf numFmtId="49" fontId="62" fillId="0" borderId="0" xfId="0" applyNumberFormat="1" applyFont="1" applyFill="1" applyAlignment="1">
      <alignment horizontal="center" vertical="center" readingOrder="1"/>
    </xf>
    <xf numFmtId="0" fontId="62" fillId="0" borderId="0" xfId="0" applyFont="1" applyFill="1" applyAlignment="1">
      <alignment readingOrder="1"/>
    </xf>
    <xf numFmtId="0" fontId="62" fillId="0" borderId="0" xfId="0" applyFont="1" applyFill="1" applyAlignment="1">
      <alignment horizontal="center" vertical="center" readingOrder="1"/>
    </xf>
    <xf numFmtId="0" fontId="58" fillId="0" borderId="0" xfId="0" applyFont="1" applyFill="1" applyAlignment="1">
      <alignment readingOrder="1"/>
    </xf>
    <xf numFmtId="0" fontId="62" fillId="0" borderId="0" xfId="0" applyFont="1" applyFill="1" applyAlignment="1">
      <alignment horizontal="center" vertical="top" readingOrder="1"/>
    </xf>
    <xf numFmtId="0" fontId="59" fillId="0" borderId="11" xfId="0" applyFont="1" applyFill="1" applyBorder="1" applyAlignment="1">
      <alignment horizontal="center" wrapText="1"/>
    </xf>
    <xf numFmtId="0" fontId="62" fillId="0" borderId="11" xfId="0" applyFont="1" applyFill="1" applyBorder="1" applyAlignment="1">
      <alignment horizontal="center" vertical="top" wrapText="1"/>
    </xf>
    <xf numFmtId="49" fontId="62" fillId="0" borderId="11" xfId="0" applyNumberFormat="1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49" fontId="59" fillId="0" borderId="12" xfId="0" applyNumberFormat="1" applyFont="1" applyFill="1" applyBorder="1" applyAlignment="1">
      <alignment horizontal="left" vertical="top" wrapText="1"/>
    </xf>
    <xf numFmtId="178" fontId="59" fillId="0" borderId="12" xfId="0" applyNumberFormat="1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vertical="top" wrapText="1"/>
    </xf>
    <xf numFmtId="0" fontId="62" fillId="0" borderId="12" xfId="0" applyFont="1" applyFill="1" applyBorder="1" applyAlignment="1">
      <alignment horizontal="left" vertical="top" wrapText="1" readingOrder="1"/>
    </xf>
    <xf numFmtId="0" fontId="62" fillId="0" borderId="11" xfId="0" applyFont="1" applyFill="1" applyBorder="1" applyAlignment="1">
      <alignment horizontal="center" vertical="top" wrapText="1" readingOrder="1"/>
    </xf>
    <xf numFmtId="0" fontId="58" fillId="0" borderId="0" xfId="0" applyFont="1" applyFill="1" applyAlignment="1">
      <alignment horizontal="left" vertical="top" readingOrder="1"/>
    </xf>
    <xf numFmtId="178" fontId="59" fillId="0" borderId="29" xfId="0" applyNumberFormat="1" applyFont="1" applyFill="1" applyBorder="1" applyAlignment="1">
      <alignment horizontal="center" vertical="center" wrapText="1" readingOrder="1"/>
    </xf>
    <xf numFmtId="9" fontId="62" fillId="0" borderId="12" xfId="0" applyNumberFormat="1" applyFont="1" applyFill="1" applyBorder="1" applyAlignment="1">
      <alignment horizontal="center" vertical="top" wrapText="1" readingOrder="1"/>
    </xf>
    <xf numFmtId="0" fontId="59" fillId="0" borderId="17" xfId="0" applyFont="1" applyFill="1" applyBorder="1" applyAlignment="1">
      <alignment horizontal="center" vertical="center" wrapText="1" readingOrder="1"/>
    </xf>
    <xf numFmtId="0" fontId="57" fillId="0" borderId="0" xfId="0" applyFont="1" applyFill="1" applyAlignment="1">
      <alignment readingOrder="1"/>
    </xf>
    <xf numFmtId="0" fontId="59" fillId="0" borderId="18" xfId="0" applyFont="1" applyFill="1" applyBorder="1" applyAlignment="1">
      <alignment horizontal="center" vertical="center" wrapText="1" readingOrder="1"/>
    </xf>
    <xf numFmtId="0" fontId="62" fillId="0" borderId="18" xfId="0" applyFont="1" applyFill="1" applyBorder="1" applyAlignment="1">
      <alignment horizontal="center" vertical="center" wrapText="1" readingOrder="1"/>
    </xf>
    <xf numFmtId="178" fontId="62" fillId="0" borderId="11" xfId="0" applyNumberFormat="1" applyFont="1" applyFill="1" applyBorder="1" applyAlignment="1">
      <alignment horizontal="center" vertical="top" wrapText="1"/>
    </xf>
    <xf numFmtId="178" fontId="62" fillId="0" borderId="22" xfId="0" applyNumberFormat="1" applyFont="1" applyFill="1" applyBorder="1" applyAlignment="1">
      <alignment horizontal="center" vertical="top" wrapText="1"/>
    </xf>
    <xf numFmtId="0" fontId="62" fillId="0" borderId="19" xfId="0" applyFont="1" applyFill="1" applyBorder="1" applyAlignment="1">
      <alignment horizontal="center" vertical="center" wrapText="1" readingOrder="1"/>
    </xf>
    <xf numFmtId="178" fontId="62" fillId="0" borderId="23" xfId="0" applyNumberFormat="1" applyFont="1" applyFill="1" applyBorder="1" applyAlignment="1">
      <alignment horizontal="center" vertical="top" wrapText="1"/>
    </xf>
    <xf numFmtId="178" fontId="62" fillId="0" borderId="24" xfId="0" applyNumberFormat="1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 wrapText="1" readingOrder="1"/>
    </xf>
    <xf numFmtId="178" fontId="59" fillId="0" borderId="11" xfId="0" applyNumberFormat="1" applyFont="1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left" vertical="top" wrapText="1" readingOrder="1"/>
    </xf>
    <xf numFmtId="0" fontId="59" fillId="0" borderId="11" xfId="0" applyFont="1" applyFill="1" applyBorder="1" applyAlignment="1">
      <alignment horizontal="left" vertical="top" wrapText="1" readingOrder="1"/>
    </xf>
    <xf numFmtId="49" fontId="62" fillId="0" borderId="12" xfId="0" applyNumberFormat="1" applyFont="1" applyFill="1" applyBorder="1" applyAlignment="1">
      <alignment horizontal="center" vertical="top" wrapText="1" readingOrder="1"/>
    </xf>
    <xf numFmtId="0" fontId="59" fillId="0" borderId="41" xfId="0" applyFont="1" applyFill="1" applyBorder="1" applyAlignment="1">
      <alignment horizontal="left" vertical="center" wrapText="1" readingOrder="1"/>
    </xf>
    <xf numFmtId="178" fontId="59" fillId="0" borderId="42" xfId="0" applyNumberFormat="1" applyFont="1" applyFill="1" applyBorder="1" applyAlignment="1">
      <alignment horizontal="center" vertical="top" wrapText="1"/>
    </xf>
    <xf numFmtId="0" fontId="62" fillId="0" borderId="18" xfId="0" applyFont="1" applyFill="1" applyBorder="1" applyAlignment="1">
      <alignment horizontal="left" vertical="center" wrapText="1" readingOrder="1"/>
    </xf>
    <xf numFmtId="0" fontId="62" fillId="0" borderId="19" xfId="0" applyFont="1" applyFill="1" applyBorder="1" applyAlignment="1">
      <alignment horizontal="left" vertical="center" wrapText="1" readingOrder="1"/>
    </xf>
    <xf numFmtId="49" fontId="59" fillId="0" borderId="16" xfId="0" applyNumberFormat="1" applyFont="1" applyFill="1" applyBorder="1" applyAlignment="1">
      <alignment horizontal="center" vertical="center" wrapText="1" readingOrder="1"/>
    </xf>
    <xf numFmtId="0" fontId="62" fillId="0" borderId="12" xfId="0" applyFont="1" applyFill="1" applyBorder="1" applyAlignment="1">
      <alignment horizontal="center" vertical="center" wrapText="1" readingOrder="1"/>
    </xf>
    <xf numFmtId="49" fontId="62" fillId="0" borderId="11" xfId="0" applyNumberFormat="1" applyFont="1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center" vertical="center" wrapText="1" readingOrder="1"/>
    </xf>
    <xf numFmtId="178" fontId="62" fillId="0" borderId="11" xfId="0" applyNumberFormat="1" applyFont="1" applyFill="1" applyBorder="1" applyAlignment="1">
      <alignment horizontal="center" vertical="center" wrapText="1" readingOrder="1"/>
    </xf>
    <xf numFmtId="178" fontId="59" fillId="0" borderId="12" xfId="0" applyNumberFormat="1" applyFont="1" applyFill="1" applyBorder="1" applyAlignment="1">
      <alignment horizontal="center" vertical="center" wrapText="1" readingOrder="1"/>
    </xf>
    <xf numFmtId="9" fontId="62" fillId="0" borderId="11" xfId="0" applyNumberFormat="1" applyFont="1" applyFill="1" applyBorder="1" applyAlignment="1">
      <alignment horizontal="center" vertical="top" wrapText="1" readingOrder="1"/>
    </xf>
    <xf numFmtId="0" fontId="62" fillId="0" borderId="29" xfId="0" applyFont="1" applyFill="1" applyBorder="1" applyAlignment="1">
      <alignment horizontal="center" vertical="top" wrapText="1" readingOrder="1"/>
    </xf>
    <xf numFmtId="49" fontId="59" fillId="0" borderId="11" xfId="0" applyNumberFormat="1" applyFont="1" applyFill="1" applyBorder="1" applyAlignment="1">
      <alignment horizontal="left" vertical="top" wrapText="1"/>
    </xf>
    <xf numFmtId="178" fontId="59" fillId="0" borderId="11" xfId="0" applyNumberFormat="1" applyFont="1" applyFill="1" applyBorder="1" applyAlignment="1">
      <alignment horizontal="center" vertical="center" wrapText="1" readingOrder="1"/>
    </xf>
    <xf numFmtId="49" fontId="59" fillId="0" borderId="11" xfId="0" applyNumberFormat="1" applyFont="1" applyFill="1" applyBorder="1" applyAlignment="1">
      <alignment horizontal="center" vertical="center" wrapText="1" readingOrder="1"/>
    </xf>
    <xf numFmtId="0" fontId="59" fillId="0" borderId="17" xfId="0" applyFont="1" applyFill="1" applyBorder="1" applyAlignment="1">
      <alignment horizontal="left" vertical="center" wrapText="1" readingOrder="1"/>
    </xf>
    <xf numFmtId="178" fontId="59" fillId="0" borderId="43" xfId="0" applyNumberFormat="1" applyFont="1" applyFill="1" applyBorder="1" applyAlignment="1">
      <alignment horizontal="center" vertical="center" wrapText="1" readingOrder="1"/>
    </xf>
    <xf numFmtId="178" fontId="59" fillId="0" borderId="44" xfId="0" applyNumberFormat="1" applyFont="1" applyFill="1" applyBorder="1" applyAlignment="1">
      <alignment horizontal="center" vertical="center" wrapText="1" readingOrder="1"/>
    </xf>
    <xf numFmtId="178" fontId="62" fillId="0" borderId="22" xfId="0" applyNumberFormat="1" applyFont="1" applyFill="1" applyBorder="1" applyAlignment="1">
      <alignment horizontal="center" vertical="center" wrapText="1" readingOrder="1"/>
    </xf>
    <xf numFmtId="0" fontId="62" fillId="0" borderId="36" xfId="0" applyFont="1" applyFill="1" applyBorder="1" applyAlignment="1">
      <alignment horizontal="left" vertical="center" wrapText="1" readingOrder="1"/>
    </xf>
    <xf numFmtId="178" fontId="62" fillId="0" borderId="45" xfId="0" applyNumberFormat="1" applyFont="1" applyFill="1" applyBorder="1" applyAlignment="1">
      <alignment horizontal="center" vertical="center" wrapText="1" readingOrder="1"/>
    </xf>
    <xf numFmtId="49" fontId="64" fillId="0" borderId="0" xfId="0" applyNumberFormat="1" applyFont="1" applyFill="1" applyBorder="1" applyAlignment="1">
      <alignment horizontal="center" vertical="center" wrapText="1" readingOrder="1"/>
    </xf>
    <xf numFmtId="0" fontId="64" fillId="0" borderId="0" xfId="0" applyFont="1" applyFill="1" applyBorder="1" applyAlignment="1">
      <alignment horizontal="left" vertical="top" wrapText="1" readingOrder="1"/>
    </xf>
    <xf numFmtId="0" fontId="64" fillId="0" borderId="0" xfId="0" applyFont="1" applyFill="1" applyBorder="1" applyAlignment="1">
      <alignment horizontal="center" vertical="center" wrapText="1" readingOrder="1"/>
    </xf>
    <xf numFmtId="0" fontId="64" fillId="0" borderId="46" xfId="0" applyFont="1" applyFill="1" applyBorder="1" applyAlignment="1">
      <alignment horizontal="left" vertical="top" wrapText="1" readingOrder="1"/>
    </xf>
    <xf numFmtId="0" fontId="64" fillId="0" borderId="46" xfId="0" applyFont="1" applyFill="1" applyBorder="1" applyAlignment="1">
      <alignment horizontal="center" vertical="top" wrapText="1" readingOrder="1"/>
    </xf>
    <xf numFmtId="0" fontId="64" fillId="0" borderId="0" xfId="0" applyFont="1" applyFill="1" applyBorder="1" applyAlignment="1">
      <alignment horizontal="center" vertical="top" wrapText="1" readingOrder="1"/>
    </xf>
    <xf numFmtId="49" fontId="64" fillId="0" borderId="0" xfId="0" applyNumberFormat="1" applyFont="1" applyFill="1" applyBorder="1" applyAlignment="1">
      <alignment horizontal="center" vertical="center" readingOrder="1"/>
    </xf>
    <xf numFmtId="0" fontId="64" fillId="0" borderId="0" xfId="0" applyFont="1" applyFill="1" applyBorder="1" applyAlignment="1">
      <alignment horizontal="left" vertical="top" readingOrder="1"/>
    </xf>
    <xf numFmtId="0" fontId="64" fillId="0" borderId="0" xfId="0" applyFont="1" applyFill="1" applyBorder="1" applyAlignment="1">
      <alignment horizontal="center" vertical="center" readingOrder="1"/>
    </xf>
    <xf numFmtId="0" fontId="64" fillId="0" borderId="0" xfId="0" applyFont="1" applyFill="1" applyBorder="1" applyAlignment="1">
      <alignment horizontal="center" vertical="top" readingOrder="1"/>
    </xf>
    <xf numFmtId="0" fontId="64" fillId="0" borderId="0" xfId="0" applyFont="1" applyFill="1" applyBorder="1" applyAlignment="1">
      <alignment readingOrder="1"/>
    </xf>
    <xf numFmtId="49" fontId="58" fillId="0" borderId="0" xfId="0" applyNumberFormat="1" applyFont="1" applyFill="1" applyBorder="1" applyAlignment="1">
      <alignment horizontal="center" vertical="center" readingOrder="1"/>
    </xf>
    <xf numFmtId="0" fontId="58" fillId="0" borderId="0" xfId="0" applyFont="1" applyFill="1" applyBorder="1" applyAlignment="1">
      <alignment readingOrder="1"/>
    </xf>
    <xf numFmtId="0" fontId="58" fillId="0" borderId="0" xfId="0" applyFont="1" applyFill="1" applyBorder="1" applyAlignment="1">
      <alignment horizontal="center" vertical="center" readingOrder="1"/>
    </xf>
    <xf numFmtId="0" fontId="58" fillId="0" borderId="0" xfId="0" applyFont="1" applyFill="1" applyBorder="1" applyAlignment="1">
      <alignment horizontal="center" vertical="top" readingOrder="1"/>
    </xf>
    <xf numFmtId="49" fontId="58" fillId="0" borderId="0" xfId="0" applyNumberFormat="1" applyFont="1" applyFill="1" applyAlignment="1">
      <alignment horizontal="center" vertical="center" readingOrder="1"/>
    </xf>
    <xf numFmtId="0" fontId="58" fillId="0" borderId="0" xfId="0" applyFont="1" applyFill="1" applyAlignment="1">
      <alignment horizontal="center" vertical="center" readingOrder="1"/>
    </xf>
    <xf numFmtId="0" fontId="58" fillId="0" borderId="0" xfId="0" applyFont="1" applyFill="1" applyAlignment="1">
      <alignment horizontal="center" vertical="top" readingOrder="1"/>
    </xf>
    <xf numFmtId="0" fontId="59" fillId="0" borderId="30" xfId="0" applyFont="1" applyFill="1" applyBorder="1" applyAlignment="1">
      <alignment horizontal="left" vertical="center" wrapText="1"/>
    </xf>
    <xf numFmtId="178" fontId="59" fillId="0" borderId="16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horizontal="center" vertical="center" wrapText="1"/>
    </xf>
    <xf numFmtId="178" fontId="62" fillId="0" borderId="11" xfId="0" applyNumberFormat="1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top" wrapText="1" readingOrder="1"/>
    </xf>
    <xf numFmtId="0" fontId="62" fillId="0" borderId="12" xfId="0" applyFont="1" applyFill="1" applyBorder="1" applyAlignment="1">
      <alignment horizontal="center" vertical="center" wrapText="1"/>
    </xf>
    <xf numFmtId="49" fontId="62" fillId="0" borderId="16" xfId="0" applyNumberFormat="1" applyFont="1" applyFill="1" applyBorder="1" applyAlignment="1">
      <alignment vertical="top" wrapText="1" readingOrder="1"/>
    </xf>
    <xf numFmtId="49" fontId="62" fillId="0" borderId="16" xfId="0" applyNumberFormat="1" applyFont="1" applyFill="1" applyBorder="1" applyAlignment="1">
      <alignment horizontal="left" vertical="center" wrapText="1" readingOrder="1"/>
    </xf>
    <xf numFmtId="9" fontId="62" fillId="0" borderId="16" xfId="0" applyNumberFormat="1" applyFont="1" applyFill="1" applyBorder="1" applyAlignment="1">
      <alignment horizontal="center" vertical="center" wrapText="1" readingOrder="1"/>
    </xf>
    <xf numFmtId="178" fontId="62" fillId="0" borderId="16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vertical="center" wrapText="1"/>
    </xf>
    <xf numFmtId="178" fontId="62" fillId="0" borderId="11" xfId="0" applyNumberFormat="1" applyFont="1" applyFill="1" applyBorder="1" applyAlignment="1">
      <alignment vertical="center" wrapText="1" readingOrder="1"/>
    </xf>
    <xf numFmtId="178" fontId="59" fillId="0" borderId="11" xfId="0" applyNumberFormat="1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left" vertical="top" wrapText="1" readingOrder="1"/>
    </xf>
    <xf numFmtId="0" fontId="62" fillId="0" borderId="15" xfId="0" applyFont="1" applyFill="1" applyBorder="1" applyAlignment="1">
      <alignment horizontal="center" vertical="top" wrapText="1"/>
    </xf>
    <xf numFmtId="178" fontId="62" fillId="0" borderId="12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left" vertical="center" wrapText="1" readingOrder="1"/>
    </xf>
    <xf numFmtId="49" fontId="62" fillId="0" borderId="12" xfId="0" applyNumberFormat="1" applyFont="1" applyFill="1" applyBorder="1" applyAlignment="1">
      <alignment horizontal="center" vertical="center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178" fontId="59" fillId="0" borderId="12" xfId="0" applyNumberFormat="1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178" fontId="62" fillId="0" borderId="22" xfId="0" applyNumberFormat="1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178" fontId="62" fillId="0" borderId="23" xfId="0" applyNumberFormat="1" applyFont="1" applyFill="1" applyBorder="1" applyAlignment="1">
      <alignment horizontal="center" vertical="center" wrapText="1"/>
    </xf>
    <xf numFmtId="178" fontId="62" fillId="0" borderId="24" xfId="0" applyNumberFormat="1" applyFont="1" applyFill="1" applyBorder="1" applyAlignment="1">
      <alignment horizontal="center" vertical="center" wrapText="1"/>
    </xf>
    <xf numFmtId="49" fontId="62" fillId="0" borderId="11" xfId="60" applyNumberFormat="1" applyFont="1" applyFill="1" applyBorder="1" applyAlignment="1">
      <alignment horizontal="center" vertical="center" wrapText="1" readingOrder="1"/>
    </xf>
    <xf numFmtId="49" fontId="62" fillId="0" borderId="11" xfId="0" applyNumberFormat="1" applyFont="1" applyFill="1" applyBorder="1" applyAlignment="1">
      <alignment horizontal="left" vertical="center" wrapText="1" readingOrder="1"/>
    </xf>
    <xf numFmtId="0" fontId="62" fillId="0" borderId="36" xfId="0" applyFont="1" applyFill="1" applyBorder="1" applyAlignment="1">
      <alignment horizontal="center" vertical="center" wrapText="1"/>
    </xf>
    <xf numFmtId="178" fontId="62" fillId="0" borderId="45" xfId="0" applyNumberFormat="1" applyFont="1" applyFill="1" applyBorder="1" applyAlignment="1">
      <alignment horizontal="center" vertical="center" wrapText="1"/>
    </xf>
    <xf numFmtId="178" fontId="59" fillId="0" borderId="22" xfId="0" applyNumberFormat="1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178" fontId="59" fillId="0" borderId="23" xfId="0" applyNumberFormat="1" applyFont="1" applyFill="1" applyBorder="1" applyAlignment="1">
      <alignment horizontal="center" vertical="center" wrapText="1"/>
    </xf>
    <xf numFmtId="178" fontId="59" fillId="0" borderId="24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top" readingOrder="1"/>
    </xf>
    <xf numFmtId="0" fontId="57" fillId="0" borderId="0" xfId="0" applyFont="1" applyFill="1" applyAlignment="1">
      <alignment horizontal="center" vertical="center" readingOrder="1"/>
    </xf>
    <xf numFmtId="0" fontId="57" fillId="0" borderId="0" xfId="0" applyFont="1" applyFill="1" applyAlignment="1">
      <alignment horizontal="left" vertical="center" readingOrder="1"/>
    </xf>
    <xf numFmtId="0" fontId="57" fillId="0" borderId="0" xfId="0" applyFont="1" applyFill="1" applyAlignment="1">
      <alignment horizontal="center" readingOrder="1"/>
    </xf>
    <xf numFmtId="178" fontId="57" fillId="0" borderId="0" xfId="0" applyNumberFormat="1" applyFont="1" applyFill="1" applyAlignment="1">
      <alignment horizontal="center" vertical="center" readingOrder="1"/>
    </xf>
    <xf numFmtId="178" fontId="62" fillId="34" borderId="11" xfId="0" applyNumberFormat="1" applyFont="1" applyFill="1" applyBorder="1" applyAlignment="1">
      <alignment horizontal="center" vertical="center" wrapText="1" readingOrder="1"/>
    </xf>
    <xf numFmtId="0" fontId="62" fillId="0" borderId="0" xfId="0" applyFont="1" applyBorder="1" applyAlignment="1">
      <alignment horizontal="right" vertical="top" wrapText="1" readingOrder="1"/>
    </xf>
    <xf numFmtId="0" fontId="62" fillId="0" borderId="12" xfId="0" applyFont="1" applyFill="1" applyBorder="1" applyAlignment="1">
      <alignment horizontal="center" vertical="top" wrapText="1"/>
    </xf>
    <xf numFmtId="9" fontId="62" fillId="0" borderId="11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vertical="top" wrapText="1"/>
    </xf>
    <xf numFmtId="178" fontId="59" fillId="0" borderId="11" xfId="0" applyNumberFormat="1" applyFont="1" applyFill="1" applyBorder="1" applyAlignment="1">
      <alignment horizontal="center" vertical="center" wrapText="1"/>
    </xf>
    <xf numFmtId="178" fontId="59" fillId="0" borderId="22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vertical="top" wrapText="1"/>
    </xf>
    <xf numFmtId="0" fontId="62" fillId="0" borderId="11" xfId="0" applyFont="1" applyFill="1" applyBorder="1" applyAlignment="1">
      <alignment horizontal="center" vertical="top" wrapText="1" readingOrder="1"/>
    </xf>
    <xf numFmtId="0" fontId="62" fillId="0" borderId="12" xfId="0" applyFont="1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left" vertical="top" wrapText="1" readingOrder="1"/>
    </xf>
    <xf numFmtId="0" fontId="58" fillId="0" borderId="0" xfId="0" applyFont="1" applyAlignment="1">
      <alignment horizontal="center" vertical="top" wrapText="1" readingOrder="1"/>
    </xf>
    <xf numFmtId="0" fontId="58" fillId="0" borderId="0" xfId="0" applyFont="1" applyAlignment="1">
      <alignment horizontal="center" vertical="top" readingOrder="1"/>
    </xf>
    <xf numFmtId="0" fontId="57" fillId="0" borderId="0" xfId="0" applyFont="1" applyAlignment="1">
      <alignment horizontal="left" wrapText="1" readingOrder="1"/>
    </xf>
    <xf numFmtId="0" fontId="62" fillId="0" borderId="11" xfId="0" applyFont="1" applyBorder="1" applyAlignment="1">
      <alignment horizontal="center" vertical="center" readingOrder="1"/>
    </xf>
    <xf numFmtId="178" fontId="62" fillId="0" borderId="29" xfId="0" applyNumberFormat="1" applyFont="1" applyBorder="1" applyAlignment="1">
      <alignment vertical="top" readingOrder="1"/>
    </xf>
    <xf numFmtId="0" fontId="62" fillId="0" borderId="29" xfId="0" applyFont="1" applyBorder="1" applyAlignment="1">
      <alignment vertical="top" readingOrder="1"/>
    </xf>
    <xf numFmtId="178" fontId="57" fillId="0" borderId="0" xfId="0" applyNumberFormat="1" applyFont="1" applyFill="1" applyAlignment="1">
      <alignment horizontal="center" readingOrder="1"/>
    </xf>
    <xf numFmtId="0" fontId="59" fillId="0" borderId="19" xfId="0" applyFont="1" applyFill="1" applyBorder="1" applyAlignment="1">
      <alignment horizontal="center" vertical="top" wrapText="1"/>
    </xf>
    <xf numFmtId="0" fontId="59" fillId="0" borderId="18" xfId="0" applyFont="1" applyFill="1" applyBorder="1" applyAlignment="1">
      <alignment horizontal="center" vertical="top" wrapText="1"/>
    </xf>
    <xf numFmtId="0" fontId="59" fillId="0" borderId="17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vertical="top" wrapText="1" readingOrder="1"/>
    </xf>
    <xf numFmtId="0" fontId="62" fillId="0" borderId="11" xfId="0" applyFont="1" applyFill="1" applyBorder="1" applyAlignment="1">
      <alignment readingOrder="1"/>
    </xf>
    <xf numFmtId="0" fontId="62" fillId="0" borderId="33" xfId="0" applyFont="1" applyFill="1" applyBorder="1" applyAlignment="1">
      <alignment vertical="top" wrapText="1" readingOrder="1"/>
    </xf>
    <xf numFmtId="178" fontId="59" fillId="0" borderId="47" xfId="0" applyNumberFormat="1" applyFont="1" applyFill="1" applyBorder="1" applyAlignment="1">
      <alignment horizontal="center" vertical="top" readingOrder="1"/>
    </xf>
    <xf numFmtId="178" fontId="59" fillId="0" borderId="48" xfId="0" applyNumberFormat="1" applyFont="1" applyFill="1" applyBorder="1" applyAlignment="1">
      <alignment horizontal="center" vertical="top" readingOrder="1"/>
    </xf>
    <xf numFmtId="0" fontId="59" fillId="0" borderId="49" xfId="0" applyFont="1" applyFill="1" applyBorder="1" applyAlignment="1">
      <alignment horizontal="center" vertical="top" wrapText="1" readingOrder="1"/>
    </xf>
    <xf numFmtId="0" fontId="62" fillId="0" borderId="50" xfId="0" applyFont="1" applyFill="1" applyBorder="1" applyAlignment="1">
      <alignment horizontal="center" vertical="top" readingOrder="1"/>
    </xf>
    <xf numFmtId="0" fontId="62" fillId="0" borderId="11" xfId="0" applyFont="1" applyFill="1" applyBorder="1" applyAlignment="1">
      <alignment horizontal="center" vertical="top" readingOrder="1"/>
    </xf>
    <xf numFmtId="0" fontId="62" fillId="0" borderId="11" xfId="0" applyFont="1" applyFill="1" applyBorder="1" applyAlignment="1">
      <alignment horizontal="center" vertical="center" readingOrder="1"/>
    </xf>
    <xf numFmtId="178" fontId="62" fillId="0" borderId="12" xfId="0" applyNumberFormat="1" applyFont="1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center" readingOrder="1"/>
    </xf>
    <xf numFmtId="178" fontId="59" fillId="0" borderId="12" xfId="0" applyNumberFormat="1" applyFont="1" applyFill="1" applyBorder="1" applyAlignment="1">
      <alignment horizontal="center" vertical="top" wrapText="1" readingOrder="1"/>
    </xf>
    <xf numFmtId="0" fontId="59" fillId="0" borderId="12" xfId="0" applyFont="1" applyFill="1" applyBorder="1" applyAlignment="1">
      <alignment horizontal="center" vertical="top" wrapText="1" readingOrder="1"/>
    </xf>
    <xf numFmtId="0" fontId="60" fillId="0" borderId="16" xfId="0" applyFont="1" applyFill="1" applyBorder="1" applyAlignment="1">
      <alignment vertical="top" wrapText="1" readingOrder="1"/>
    </xf>
    <xf numFmtId="0" fontId="62" fillId="0" borderId="16" xfId="0" applyFont="1" applyFill="1" applyBorder="1" applyAlignment="1">
      <alignment readingOrder="1"/>
    </xf>
    <xf numFmtId="0" fontId="62" fillId="0" borderId="30" xfId="0" applyFont="1" applyFill="1" applyBorder="1" applyAlignment="1">
      <alignment vertical="top" wrapText="1" readingOrder="1"/>
    </xf>
    <xf numFmtId="0" fontId="60" fillId="0" borderId="50" xfId="0" applyFont="1" applyFill="1" applyBorder="1" applyAlignment="1">
      <alignment vertical="top" readingOrder="1"/>
    </xf>
    <xf numFmtId="178" fontId="59" fillId="0" borderId="12" xfId="0" applyNumberFormat="1" applyFont="1" applyFill="1" applyBorder="1" applyAlignment="1">
      <alignment horizontal="center" vertical="top" readingOrder="1"/>
    </xf>
    <xf numFmtId="0" fontId="60" fillId="0" borderId="12" xfId="0" applyFont="1" applyFill="1" applyBorder="1" applyAlignment="1">
      <alignment horizontal="center" vertical="top" readingOrder="1"/>
    </xf>
    <xf numFmtId="0" fontId="62" fillId="0" borderId="32" xfId="0" applyFont="1" applyFill="1" applyBorder="1" applyAlignment="1">
      <alignment vertical="top" wrapText="1"/>
    </xf>
    <xf numFmtId="0" fontId="62" fillId="0" borderId="11" xfId="0" applyFont="1" applyFill="1" applyBorder="1" applyAlignment="1">
      <alignment vertical="top" readingOrder="1"/>
    </xf>
    <xf numFmtId="0" fontId="62" fillId="0" borderId="16" xfId="0" applyFont="1" applyFill="1" applyBorder="1" applyAlignment="1">
      <alignment horizontal="center" vertical="top" readingOrder="1"/>
    </xf>
    <xf numFmtId="0" fontId="62" fillId="0" borderId="33" xfId="0" applyFont="1" applyFill="1" applyBorder="1" applyAlignment="1">
      <alignment vertical="top" wrapText="1"/>
    </xf>
    <xf numFmtId="0" fontId="62" fillId="0" borderId="29" xfId="0" applyFont="1" applyFill="1" applyBorder="1" applyAlignment="1">
      <alignment horizontal="center" vertical="top" readingOrder="1"/>
    </xf>
    <xf numFmtId="0" fontId="59" fillId="0" borderId="50" xfId="0" applyFont="1" applyFill="1" applyBorder="1" applyAlignment="1">
      <alignment horizontal="center" vertical="top" readingOrder="1"/>
    </xf>
    <xf numFmtId="178" fontId="60" fillId="0" borderId="51" xfId="0" applyNumberFormat="1" applyFont="1" applyFill="1" applyBorder="1" applyAlignment="1">
      <alignment vertical="top" readingOrder="1"/>
    </xf>
    <xf numFmtId="0" fontId="60" fillId="0" borderId="51" xfId="0" applyFont="1" applyFill="1" applyBorder="1" applyAlignment="1">
      <alignment vertical="top" readingOrder="1"/>
    </xf>
    <xf numFmtId="178" fontId="62" fillId="0" borderId="12" xfId="0" applyNumberFormat="1" applyFont="1" applyFill="1" applyBorder="1" applyAlignment="1">
      <alignment horizontal="center" vertical="top" readingOrder="1"/>
    </xf>
    <xf numFmtId="0" fontId="62" fillId="0" borderId="12" xfId="0" applyFont="1" applyFill="1" applyBorder="1" applyAlignment="1">
      <alignment horizontal="center" vertical="top" readingOrder="1"/>
    </xf>
    <xf numFmtId="178" fontId="62" fillId="0" borderId="12" xfId="0" applyNumberFormat="1" applyFont="1" applyFill="1" applyBorder="1" applyAlignment="1">
      <alignment vertical="top" readingOrder="1"/>
    </xf>
    <xf numFmtId="0" fontId="62" fillId="0" borderId="12" xfId="0" applyFont="1" applyFill="1" applyBorder="1" applyAlignment="1">
      <alignment vertical="top" readingOrder="1"/>
    </xf>
    <xf numFmtId="178" fontId="59" fillId="0" borderId="12" xfId="0" applyNumberFormat="1" applyFont="1" applyFill="1" applyBorder="1" applyAlignment="1">
      <alignment vertical="top" readingOrder="1"/>
    </xf>
    <xf numFmtId="0" fontId="59" fillId="0" borderId="12" xfId="0" applyFont="1" applyFill="1" applyBorder="1" applyAlignment="1">
      <alignment vertical="top" wrapText="1" readingOrder="1"/>
    </xf>
    <xf numFmtId="16" fontId="62" fillId="0" borderId="11" xfId="0" applyNumberFormat="1" applyFont="1" applyFill="1" applyBorder="1" applyAlignment="1">
      <alignment horizontal="center" vertical="top" readingOrder="1"/>
    </xf>
    <xf numFmtId="0" fontId="62" fillId="0" borderId="33" xfId="0" applyFont="1" applyFill="1" applyBorder="1" applyAlignment="1">
      <alignment wrapText="1" readingOrder="1"/>
    </xf>
    <xf numFmtId="16" fontId="62" fillId="0" borderId="50" xfId="0" applyNumberFormat="1" applyFont="1" applyFill="1" applyBorder="1" applyAlignment="1">
      <alignment horizontal="center" vertical="top" readingOrder="1"/>
    </xf>
    <xf numFmtId="178" fontId="59" fillId="0" borderId="11" xfId="0" applyNumberFormat="1" applyFont="1" applyFill="1" applyBorder="1" applyAlignment="1">
      <alignment horizontal="center" vertical="top" readingOrder="1"/>
    </xf>
    <xf numFmtId="0" fontId="60" fillId="0" borderId="11" xfId="0" applyFont="1" applyFill="1" applyBorder="1" applyAlignment="1">
      <alignment vertical="top" wrapText="1" readingOrder="1"/>
    </xf>
    <xf numFmtId="178" fontId="59" fillId="0" borderId="47" xfId="0" applyNumberFormat="1" applyFont="1" applyFill="1" applyBorder="1" applyAlignment="1">
      <alignment horizontal="center" vertical="top" wrapText="1" readingOrder="1"/>
    </xf>
    <xf numFmtId="178" fontId="59" fillId="0" borderId="48" xfId="0" applyNumberFormat="1" applyFont="1" applyFill="1" applyBorder="1" applyAlignment="1">
      <alignment horizontal="center" vertical="top" wrapText="1" readingOrder="1"/>
    </xf>
    <xf numFmtId="0" fontId="60" fillId="0" borderId="50" xfId="0" applyFont="1" applyFill="1" applyBorder="1" applyAlignment="1">
      <alignment horizontal="center" vertical="top" readingOrder="1"/>
    </xf>
    <xf numFmtId="0" fontId="60" fillId="0" borderId="31" xfId="0" applyFont="1" applyFill="1" applyBorder="1" applyAlignment="1">
      <alignment horizontal="center" vertical="top" readingOrder="1"/>
    </xf>
    <xf numFmtId="0" fontId="0" fillId="0" borderId="29" xfId="0" applyFill="1" applyBorder="1" applyAlignment="1">
      <alignment/>
    </xf>
    <xf numFmtId="0" fontId="60" fillId="0" borderId="52" xfId="0" applyFont="1" applyFill="1" applyBorder="1" applyAlignment="1">
      <alignment horizontal="center" vertical="top" readingOrder="1"/>
    </xf>
    <xf numFmtId="0" fontId="60" fillId="0" borderId="29" xfId="0" applyFont="1" applyFill="1" applyBorder="1" applyAlignment="1">
      <alignment vertical="top" wrapText="1" readingOrder="1"/>
    </xf>
    <xf numFmtId="0" fontId="58" fillId="0" borderId="0" xfId="0" applyFont="1" applyFill="1" applyAlignment="1">
      <alignment horizontal="right"/>
    </xf>
    <xf numFmtId="0" fontId="58" fillId="0" borderId="0" xfId="0" applyFont="1" applyFill="1" applyAlignment="1">
      <alignment horizontal="center" vertical="top" wrapText="1" readingOrder="1"/>
    </xf>
    <xf numFmtId="0" fontId="57" fillId="0" borderId="0" xfId="0" applyFont="1" applyFill="1" applyAlignment="1">
      <alignment horizontal="center" wrapText="1" readingOrder="1"/>
    </xf>
    <xf numFmtId="0" fontId="62" fillId="0" borderId="0" xfId="0" applyFont="1" applyFill="1" applyAlignment="1">
      <alignment horizontal="right"/>
    </xf>
    <xf numFmtId="0" fontId="59" fillId="0" borderId="11" xfId="0" applyFont="1" applyFill="1" applyBorder="1" applyAlignment="1">
      <alignment horizontal="center" vertical="center" wrapText="1"/>
    </xf>
    <xf numFmtId="1" fontId="62" fillId="0" borderId="11" xfId="0" applyNumberFormat="1" applyFont="1" applyFill="1" applyBorder="1" applyAlignment="1">
      <alignment horizontal="center" vertical="center" wrapText="1" readingOrder="1"/>
    </xf>
    <xf numFmtId="0" fontId="62" fillId="0" borderId="18" xfId="0" applyFont="1" applyFill="1" applyBorder="1" applyAlignment="1">
      <alignment vertical="top" wrapText="1"/>
    </xf>
    <xf numFmtId="0" fontId="62" fillId="0" borderId="19" xfId="0" applyFont="1" applyFill="1" applyBorder="1" applyAlignment="1">
      <alignment vertical="top" wrapText="1"/>
    </xf>
    <xf numFmtId="0" fontId="59" fillId="0" borderId="11" xfId="0" applyFont="1" applyFill="1" applyBorder="1" applyAlignment="1">
      <alignment horizontal="center" vertical="top" readingOrder="1"/>
    </xf>
    <xf numFmtId="0" fontId="59" fillId="0" borderId="11" xfId="0" applyFont="1" applyFill="1" applyBorder="1" applyAlignment="1">
      <alignment horizontal="left" vertical="center" wrapText="1" readingOrder="1"/>
    </xf>
    <xf numFmtId="0" fontId="62" fillId="0" borderId="11" xfId="0" applyFont="1" applyFill="1" applyBorder="1" applyAlignment="1">
      <alignment vertical="center" wrapText="1" readingOrder="1"/>
    </xf>
    <xf numFmtId="0" fontId="59" fillId="0" borderId="17" xfId="0" applyFont="1" applyFill="1" applyBorder="1" applyAlignment="1">
      <alignment vertical="top" wrapText="1"/>
    </xf>
    <xf numFmtId="0" fontId="59" fillId="0" borderId="18" xfId="0" applyFont="1" applyFill="1" applyBorder="1" applyAlignment="1">
      <alignment vertical="top" wrapText="1"/>
    </xf>
    <xf numFmtId="0" fontId="62" fillId="0" borderId="36" xfId="0" applyFont="1" applyFill="1" applyBorder="1" applyAlignment="1">
      <alignment vertical="top" wrapText="1"/>
    </xf>
    <xf numFmtId="178" fontId="62" fillId="0" borderId="12" xfId="0" applyNumberFormat="1" applyFont="1" applyFill="1" applyBorder="1" applyAlignment="1">
      <alignment horizontal="center" vertical="top" wrapText="1"/>
    </xf>
    <xf numFmtId="178" fontId="62" fillId="0" borderId="45" xfId="0" applyNumberFormat="1" applyFont="1" applyFill="1" applyBorder="1" applyAlignment="1">
      <alignment horizontal="center" vertical="top" wrapText="1"/>
    </xf>
    <xf numFmtId="0" fontId="59" fillId="0" borderId="17" xfId="0" applyFont="1" applyFill="1" applyBorder="1" applyAlignment="1">
      <alignment horizontal="left" vertical="top" wrapText="1"/>
    </xf>
    <xf numFmtId="0" fontId="57" fillId="0" borderId="0" xfId="0" applyFont="1" applyFill="1" applyAlignment="1">
      <alignment horizontal="left" wrapText="1" readingOrder="1"/>
    </xf>
    <xf numFmtId="0" fontId="59" fillId="0" borderId="18" xfId="0" applyFont="1" applyFill="1" applyBorder="1" applyAlignment="1">
      <alignment horizontal="left" vertical="top" wrapText="1"/>
    </xf>
    <xf numFmtId="0" fontId="59" fillId="0" borderId="19" xfId="0" applyFont="1" applyFill="1" applyBorder="1" applyAlignment="1">
      <alignment horizontal="left" vertical="top" wrapText="1"/>
    </xf>
    <xf numFmtId="0" fontId="62" fillId="0" borderId="0" xfId="0" applyFont="1" applyBorder="1" applyAlignment="1">
      <alignment vertical="center" wrapText="1" readingOrder="1"/>
    </xf>
    <xf numFmtId="0" fontId="57" fillId="0" borderId="0" xfId="0" applyFont="1" applyAlignment="1">
      <alignment horizontal="center" wrapText="1" readingOrder="1"/>
    </xf>
    <xf numFmtId="178" fontId="62" fillId="0" borderId="29" xfId="0" applyNumberFormat="1" applyFont="1" applyFill="1" applyBorder="1" applyAlignment="1">
      <alignment vertical="top" readingOrder="1"/>
    </xf>
    <xf numFmtId="178" fontId="62" fillId="0" borderId="39" xfId="0" applyNumberFormat="1" applyFont="1" applyFill="1" applyBorder="1" applyAlignment="1">
      <alignment vertical="top" readingOrder="1"/>
    </xf>
    <xf numFmtId="178" fontId="62" fillId="0" borderId="0" xfId="0" applyNumberFormat="1" applyFont="1" applyFill="1" applyBorder="1" applyAlignment="1">
      <alignment vertical="top" readingOrder="1"/>
    </xf>
    <xf numFmtId="178" fontId="62" fillId="0" borderId="29" xfId="0" applyNumberFormat="1" applyFont="1" applyBorder="1" applyAlignment="1">
      <alignment horizontal="center" vertical="top" readingOrder="1"/>
    </xf>
    <xf numFmtId="0" fontId="62" fillId="0" borderId="29" xfId="0" applyFont="1" applyFill="1" applyBorder="1" applyAlignment="1">
      <alignment vertical="top" wrapText="1"/>
    </xf>
    <xf numFmtId="0" fontId="62" fillId="0" borderId="11" xfId="0" applyNumberFormat="1" applyFont="1" applyBorder="1" applyAlignment="1">
      <alignment horizontal="center" vertical="center" readingOrder="1"/>
    </xf>
    <xf numFmtId="0" fontId="62" fillId="0" borderId="12" xfId="0" applyFont="1" applyFill="1" applyBorder="1" applyAlignment="1">
      <alignment horizontal="left" vertical="top" wrapText="1" readingOrder="1"/>
    </xf>
    <xf numFmtId="0" fontId="62" fillId="0" borderId="11" xfId="0" applyFont="1" applyFill="1" applyBorder="1" applyAlignment="1">
      <alignment horizontal="left" vertical="top" wrapText="1" readingOrder="1"/>
    </xf>
    <xf numFmtId="49" fontId="62" fillId="0" borderId="29" xfId="0" applyNumberFormat="1" applyFont="1" applyBorder="1" applyAlignment="1">
      <alignment vertical="top" wrapText="1"/>
    </xf>
    <xf numFmtId="49" fontId="62" fillId="0" borderId="16" xfId="0" applyNumberFormat="1" applyFont="1" applyBorder="1" applyAlignment="1">
      <alignment vertical="top" wrapText="1"/>
    </xf>
    <xf numFmtId="2" fontId="59" fillId="0" borderId="11" xfId="0" applyNumberFormat="1" applyFont="1" applyFill="1" applyBorder="1" applyAlignment="1">
      <alignment horizontal="center" vertical="top" wrapText="1"/>
    </xf>
    <xf numFmtId="2" fontId="59" fillId="0" borderId="23" xfId="0" applyNumberFormat="1" applyFont="1" applyFill="1" applyBorder="1" applyAlignment="1">
      <alignment horizontal="center" vertical="top" wrapText="1"/>
    </xf>
    <xf numFmtId="2" fontId="59" fillId="33" borderId="11" xfId="0" applyNumberFormat="1" applyFont="1" applyFill="1" applyBorder="1" applyAlignment="1">
      <alignment horizontal="center" vertical="center" wrapText="1"/>
    </xf>
    <xf numFmtId="2" fontId="59" fillId="0" borderId="11" xfId="0" applyNumberFormat="1" applyFont="1" applyFill="1" applyBorder="1" applyAlignment="1">
      <alignment horizontal="center" vertical="center" wrapText="1"/>
    </xf>
    <xf numFmtId="2" fontId="62" fillId="0" borderId="11" xfId="0" applyNumberFormat="1" applyFont="1" applyFill="1" applyBorder="1" applyAlignment="1">
      <alignment horizontal="center" vertical="center" wrapText="1"/>
    </xf>
    <xf numFmtId="2" fontId="60" fillId="0" borderId="0" xfId="0" applyNumberFormat="1" applyFont="1" applyAlignment="1">
      <alignment/>
    </xf>
    <xf numFmtId="2" fontId="62" fillId="0" borderId="11" xfId="0" applyNumberFormat="1" applyFont="1" applyFill="1" applyBorder="1" applyAlignment="1">
      <alignment horizontal="center" vertical="top" wrapText="1"/>
    </xf>
    <xf numFmtId="2" fontId="62" fillId="0" borderId="22" xfId="0" applyNumberFormat="1" applyFont="1" applyFill="1" applyBorder="1" applyAlignment="1">
      <alignment horizontal="center" vertical="top" wrapText="1"/>
    </xf>
    <xf numFmtId="2" fontId="62" fillId="0" borderId="23" xfId="0" applyNumberFormat="1" applyFont="1" applyFill="1" applyBorder="1" applyAlignment="1">
      <alignment horizontal="center" vertical="top" wrapText="1"/>
    </xf>
    <xf numFmtId="2" fontId="62" fillId="0" borderId="24" xfId="0" applyNumberFormat="1" applyFont="1" applyFill="1" applyBorder="1" applyAlignment="1">
      <alignment horizontal="center" vertical="top" wrapText="1"/>
    </xf>
    <xf numFmtId="2" fontId="59" fillId="0" borderId="29" xfId="0" applyNumberFormat="1" applyFont="1" applyFill="1" applyBorder="1" applyAlignment="1">
      <alignment horizontal="center" vertical="center" wrapText="1" readingOrder="1"/>
    </xf>
    <xf numFmtId="2" fontId="59" fillId="0" borderId="48" xfId="0" applyNumberFormat="1" applyFont="1" applyFill="1" applyBorder="1" applyAlignment="1">
      <alignment horizontal="center" vertical="top" readingOrder="1"/>
    </xf>
    <xf numFmtId="2" fontId="59" fillId="0" borderId="47" xfId="0" applyNumberFormat="1" applyFont="1" applyFill="1" applyBorder="1" applyAlignment="1">
      <alignment horizontal="center" vertical="top" readingOrder="1"/>
    </xf>
    <xf numFmtId="2" fontId="59" fillId="0" borderId="12" xfId="0" applyNumberFormat="1" applyFont="1" applyBorder="1" applyAlignment="1">
      <alignment horizontal="center" vertical="center" wrapText="1"/>
    </xf>
    <xf numFmtId="2" fontId="62" fillId="0" borderId="16" xfId="0" applyNumberFormat="1" applyFont="1" applyBorder="1" applyAlignment="1">
      <alignment horizontal="center" vertical="center" wrapText="1"/>
    </xf>
    <xf numFmtId="2" fontId="62" fillId="0" borderId="12" xfId="0" applyNumberFormat="1" applyFont="1" applyBorder="1" applyAlignment="1">
      <alignment horizontal="center" vertical="center" wrapText="1"/>
    </xf>
    <xf numFmtId="2" fontId="59" fillId="0" borderId="12" xfId="0" applyNumberFormat="1" applyFont="1" applyFill="1" applyBorder="1" applyAlignment="1">
      <alignment horizontal="center" vertical="center" wrapText="1" readingOrder="1"/>
    </xf>
    <xf numFmtId="2" fontId="62" fillId="0" borderId="30" xfId="0" applyNumberFormat="1" applyFont="1" applyBorder="1" applyAlignment="1">
      <alignment horizontal="center" vertical="center" wrapText="1"/>
    </xf>
    <xf numFmtId="2" fontId="59" fillId="0" borderId="32" xfId="0" applyNumberFormat="1" applyFont="1" applyBorder="1" applyAlignment="1">
      <alignment horizontal="center" vertical="center" wrapText="1"/>
    </xf>
    <xf numFmtId="49" fontId="62" fillId="0" borderId="52" xfId="0" applyNumberFormat="1" applyFont="1" applyBorder="1" applyAlignment="1">
      <alignment horizontal="center" vertical="top" wrapText="1"/>
    </xf>
    <xf numFmtId="0" fontId="62" fillId="0" borderId="53" xfId="0" applyFont="1" applyBorder="1" applyAlignment="1">
      <alignment horizontal="center" vertical="center" wrapText="1"/>
    </xf>
    <xf numFmtId="49" fontId="59" fillId="0" borderId="29" xfId="0" applyNumberFormat="1" applyFont="1" applyBorder="1" applyAlignment="1">
      <alignment horizontal="center" vertical="center" wrapText="1"/>
    </xf>
    <xf numFmtId="2" fontId="59" fillId="0" borderId="12" xfId="0" applyNumberFormat="1" applyFont="1" applyFill="1" applyBorder="1" applyAlignment="1">
      <alignment horizontal="center" vertical="center" readingOrder="1"/>
    </xf>
    <xf numFmtId="2" fontId="62" fillId="0" borderId="29" xfId="0" applyNumberFormat="1" applyFont="1" applyFill="1" applyBorder="1" applyAlignment="1">
      <alignment horizontal="center" vertical="center" readingOrder="1"/>
    </xf>
    <xf numFmtId="0" fontId="57" fillId="0" borderId="0" xfId="0" applyNumberFormat="1" applyFont="1" applyAlignment="1">
      <alignment horizontal="center" vertical="center" readingOrder="1"/>
    </xf>
    <xf numFmtId="0" fontId="59" fillId="0" borderId="15" xfId="0" applyFont="1" applyBorder="1" applyAlignment="1">
      <alignment horizontal="center" vertical="top" wrapText="1" readingOrder="1"/>
    </xf>
    <xf numFmtId="0" fontId="62" fillId="0" borderId="32" xfId="0" applyFont="1" applyBorder="1" applyAlignment="1">
      <alignment vertical="center" wrapText="1" readingOrder="1"/>
    </xf>
    <xf numFmtId="0" fontId="62" fillId="0" borderId="52" xfId="0" applyFont="1" applyBorder="1" applyAlignment="1">
      <alignment horizontal="center" vertical="top" readingOrder="1"/>
    </xf>
    <xf numFmtId="0" fontId="62" fillId="0" borderId="52" xfId="0" applyFont="1" applyBorder="1" applyAlignment="1">
      <alignment vertical="top" readingOrder="1"/>
    </xf>
    <xf numFmtId="0" fontId="62" fillId="0" borderId="52" xfId="0" applyFont="1" applyFill="1" applyBorder="1" applyAlignment="1">
      <alignment horizontal="center" vertical="top" readingOrder="1"/>
    </xf>
    <xf numFmtId="0" fontId="62" fillId="0" borderId="33" xfId="0" applyFont="1" applyBorder="1" applyAlignment="1">
      <alignment vertical="center" wrapText="1" readingOrder="1"/>
    </xf>
    <xf numFmtId="0" fontId="62" fillId="0" borderId="33" xfId="0" applyFont="1" applyBorder="1" applyAlignment="1">
      <alignment horizontal="left" vertical="top" wrapText="1" readingOrder="1"/>
    </xf>
    <xf numFmtId="2" fontId="62" fillId="0" borderId="39" xfId="0" applyNumberFormat="1" applyFont="1" applyFill="1" applyBorder="1" applyAlignment="1">
      <alignment horizontal="center" vertical="center" readingOrder="1"/>
    </xf>
    <xf numFmtId="178" fontId="59" fillId="0" borderId="16" xfId="0" applyNumberFormat="1" applyFont="1" applyBorder="1" applyAlignment="1">
      <alignment horizontal="center" vertical="top" readingOrder="1"/>
    </xf>
    <xf numFmtId="2" fontId="59" fillId="33" borderId="11" xfId="0" applyNumberFormat="1" applyFont="1" applyFill="1" applyBorder="1" applyAlignment="1">
      <alignment horizontal="center" vertical="top" wrapText="1"/>
    </xf>
    <xf numFmtId="178" fontId="62" fillId="33" borderId="12" xfId="0" applyNumberFormat="1" applyFont="1" applyFill="1" applyBorder="1" applyAlignment="1">
      <alignment horizontal="center" vertical="top" readingOrder="1"/>
    </xf>
    <xf numFmtId="2" fontId="59" fillId="0" borderId="12" xfId="0" applyNumberFormat="1" applyFont="1" applyFill="1" applyBorder="1" applyAlignment="1">
      <alignment horizontal="center" vertical="center" wrapText="1"/>
    </xf>
    <xf numFmtId="2" fontId="59" fillId="0" borderId="46" xfId="0" applyNumberFormat="1" applyFont="1" applyFill="1" applyBorder="1" applyAlignment="1">
      <alignment horizontal="center" vertical="center" wrapText="1"/>
    </xf>
    <xf numFmtId="2" fontId="62" fillId="0" borderId="29" xfId="0" applyNumberFormat="1" applyFont="1" applyFill="1" applyBorder="1" applyAlignment="1">
      <alignment horizontal="center" vertical="center" wrapText="1"/>
    </xf>
    <xf numFmtId="2" fontId="62" fillId="0" borderId="0" xfId="0" applyNumberFormat="1" applyFont="1" applyFill="1" applyBorder="1" applyAlignment="1">
      <alignment horizontal="center" vertical="center" wrapText="1"/>
    </xf>
    <xf numFmtId="2" fontId="59" fillId="0" borderId="43" xfId="0" applyNumberFormat="1" applyFont="1" applyBorder="1" applyAlignment="1">
      <alignment horizontal="center" vertical="center" wrapText="1"/>
    </xf>
    <xf numFmtId="1" fontId="62" fillId="0" borderId="12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right" vertical="center" wrapText="1" readingOrder="1"/>
    </xf>
    <xf numFmtId="178" fontId="62" fillId="0" borderId="0" xfId="0" applyNumberFormat="1" applyFont="1" applyFill="1" applyBorder="1" applyAlignment="1">
      <alignment horizontal="center" vertical="top" readingOrder="1"/>
    </xf>
    <xf numFmtId="178" fontId="62" fillId="0" borderId="39" xfId="0" applyNumberFormat="1" applyFont="1" applyFill="1" applyBorder="1" applyAlignment="1">
      <alignment horizontal="center" vertical="top" readingOrder="1"/>
    </xf>
    <xf numFmtId="178" fontId="59" fillId="0" borderId="30" xfId="0" applyNumberFormat="1" applyFont="1" applyBorder="1" applyAlignment="1">
      <alignment horizontal="center" vertical="top" readingOrder="1"/>
    </xf>
    <xf numFmtId="178" fontId="62" fillId="0" borderId="0" xfId="0" applyNumberFormat="1" applyFont="1" applyBorder="1" applyAlignment="1">
      <alignment horizontal="center" vertical="top" readingOrder="1"/>
    </xf>
    <xf numFmtId="178" fontId="62" fillId="0" borderId="0" xfId="0" applyNumberFormat="1" applyFont="1" applyBorder="1" applyAlignment="1">
      <alignment vertical="top" readingOrder="1"/>
    </xf>
    <xf numFmtId="2" fontId="59" fillId="0" borderId="29" xfId="0" applyNumberFormat="1" applyFont="1" applyFill="1" applyBorder="1" applyAlignment="1">
      <alignment horizontal="center" vertical="center" readingOrder="1"/>
    </xf>
    <xf numFmtId="178" fontId="62" fillId="0" borderId="30" xfId="0" applyNumberFormat="1" applyFont="1" applyBorder="1" applyAlignment="1">
      <alignment horizontal="center" vertical="center" wrapText="1"/>
    </xf>
    <xf numFmtId="1" fontId="62" fillId="0" borderId="29" xfId="0" applyNumberFormat="1" applyFont="1" applyBorder="1" applyAlignment="1">
      <alignment vertical="center" wrapText="1" readingOrder="1"/>
    </xf>
    <xf numFmtId="1" fontId="62" fillId="0" borderId="16" xfId="0" applyNumberFormat="1" applyFont="1" applyBorder="1" applyAlignment="1">
      <alignment vertical="center" wrapText="1" readingOrder="1"/>
    </xf>
    <xf numFmtId="0" fontId="62" fillId="0" borderId="0" xfId="0" applyFont="1" applyAlignment="1">
      <alignment horizontal="right" vertical="top" wrapText="1"/>
    </xf>
    <xf numFmtId="1" fontId="62" fillId="0" borderId="29" xfId="0" applyNumberFormat="1" applyFont="1" applyBorder="1" applyAlignment="1">
      <alignment vertical="top" wrapText="1" readingOrder="1"/>
    </xf>
    <xf numFmtId="2" fontId="59" fillId="0" borderId="43" xfId="0" applyNumberFormat="1" applyFont="1" applyBorder="1" applyAlignment="1">
      <alignment horizontal="center" vertical="center" readingOrder="1"/>
    </xf>
    <xf numFmtId="0" fontId="62" fillId="0" borderId="18" xfId="0" applyFont="1" applyBorder="1" applyAlignment="1">
      <alignment horizontal="center" readingOrder="1"/>
    </xf>
    <xf numFmtId="2" fontId="62" fillId="0" borderId="11" xfId="0" applyNumberFormat="1" applyFont="1" applyBorder="1" applyAlignment="1">
      <alignment horizontal="center" vertical="center" readingOrder="1"/>
    </xf>
    <xf numFmtId="0" fontId="62" fillId="0" borderId="19" xfId="0" applyFont="1" applyBorder="1" applyAlignment="1">
      <alignment horizontal="center" readingOrder="1"/>
    </xf>
    <xf numFmtId="2" fontId="62" fillId="0" borderId="23" xfId="0" applyNumberFormat="1" applyFont="1" applyBorder="1" applyAlignment="1">
      <alignment horizontal="center" vertical="center" readingOrder="1"/>
    </xf>
    <xf numFmtId="49" fontId="62" fillId="0" borderId="0" xfId="0" applyNumberFormat="1" applyFont="1" applyAlignment="1">
      <alignment readingOrder="1"/>
    </xf>
    <xf numFmtId="0" fontId="62" fillId="0" borderId="0" xfId="0" applyFont="1" applyAlignment="1">
      <alignment readingOrder="1"/>
    </xf>
    <xf numFmtId="0" fontId="62" fillId="0" borderId="0" xfId="0" applyFont="1" applyAlignment="1">
      <alignment horizontal="center" readingOrder="1"/>
    </xf>
    <xf numFmtId="0" fontId="62" fillId="0" borderId="0" xfId="0" applyFont="1" applyAlignment="1">
      <alignment horizontal="left" readingOrder="1"/>
    </xf>
    <xf numFmtId="0" fontId="62" fillId="0" borderId="0" xfId="0" applyFont="1" applyBorder="1" applyAlignment="1">
      <alignment horizontal="center" vertical="top" readingOrder="1"/>
    </xf>
    <xf numFmtId="0" fontId="62" fillId="0" borderId="0" xfId="0" applyFont="1" applyBorder="1" applyAlignment="1">
      <alignment horizontal="center" readingOrder="1"/>
    </xf>
    <xf numFmtId="0" fontId="62" fillId="0" borderId="29" xfId="0" applyFont="1" applyBorder="1" applyAlignment="1">
      <alignment vertical="center" wrapText="1" readingOrder="1"/>
    </xf>
    <xf numFmtId="0" fontId="62" fillId="0" borderId="16" xfId="0" applyFont="1" applyBorder="1" applyAlignment="1">
      <alignment vertical="center" wrapText="1" readingOrder="1"/>
    </xf>
    <xf numFmtId="49" fontId="62" fillId="0" borderId="52" xfId="0" applyNumberFormat="1" applyFont="1" applyBorder="1" applyAlignment="1">
      <alignment readingOrder="1"/>
    </xf>
    <xf numFmtId="49" fontId="62" fillId="0" borderId="29" xfId="0" applyNumberFormat="1" applyFont="1" applyBorder="1" applyAlignment="1">
      <alignment readingOrder="1"/>
    </xf>
    <xf numFmtId="0" fontId="62" fillId="0" borderId="0" xfId="0" applyFont="1" applyAlignment="1">
      <alignment vertical="top" wrapText="1" readingOrder="1"/>
    </xf>
    <xf numFmtId="2" fontId="59" fillId="0" borderId="11" xfId="0" applyNumberFormat="1" applyFont="1" applyFill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 readingOrder="1"/>
    </xf>
    <xf numFmtId="0" fontId="62" fillId="0" borderId="19" xfId="0" applyFont="1" applyBorder="1" applyAlignment="1">
      <alignment horizontal="center" vertical="top" readingOrder="1"/>
    </xf>
    <xf numFmtId="2" fontId="62" fillId="33" borderId="11" xfId="0" applyNumberFormat="1" applyFont="1" applyFill="1" applyBorder="1" applyAlignment="1">
      <alignment horizontal="center" vertical="center" wrapText="1"/>
    </xf>
    <xf numFmtId="1" fontId="62" fillId="33" borderId="11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top" wrapText="1"/>
    </xf>
    <xf numFmtId="2" fontId="59" fillId="33" borderId="43" xfId="0" applyNumberFormat="1" applyFont="1" applyFill="1" applyBorder="1" applyAlignment="1">
      <alignment horizontal="center" vertical="center" wrapText="1"/>
    </xf>
    <xf numFmtId="2" fontId="59" fillId="33" borderId="11" xfId="0" applyNumberFormat="1" applyFont="1" applyFill="1" applyBorder="1" applyAlignment="1">
      <alignment horizontal="center" vertical="center" wrapText="1"/>
    </xf>
    <xf numFmtId="2" fontId="59" fillId="33" borderId="44" xfId="0" applyNumberFormat="1" applyFont="1" applyFill="1" applyBorder="1" applyAlignment="1">
      <alignment horizontal="center" vertical="center" wrapText="1"/>
    </xf>
    <xf numFmtId="2" fontId="62" fillId="0" borderId="12" xfId="0" applyNumberFormat="1" applyFont="1" applyFill="1" applyBorder="1" applyAlignment="1">
      <alignment horizontal="center" vertical="center" wrapText="1"/>
    </xf>
    <xf numFmtId="2" fontId="62" fillId="0" borderId="16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readingOrder="1"/>
    </xf>
    <xf numFmtId="0" fontId="60" fillId="0" borderId="0" xfId="0" applyFont="1" applyBorder="1" applyAlignment="1">
      <alignment readingOrder="1"/>
    </xf>
    <xf numFmtId="0" fontId="60" fillId="0" borderId="0" xfId="0" applyFont="1" applyFill="1" applyBorder="1" applyAlignment="1">
      <alignment readingOrder="1"/>
    </xf>
    <xf numFmtId="2" fontId="60" fillId="0" borderId="0" xfId="0" applyNumberFormat="1" applyFont="1" applyAlignment="1">
      <alignment wrapText="1"/>
    </xf>
    <xf numFmtId="0" fontId="60" fillId="0" borderId="0" xfId="0" applyFont="1" applyAlignment="1">
      <alignment wrapText="1"/>
    </xf>
    <xf numFmtId="2" fontId="62" fillId="0" borderId="31" xfId="0" applyNumberFormat="1" applyFont="1" applyFill="1" applyBorder="1" applyAlignment="1">
      <alignment vertical="center" wrapText="1"/>
    </xf>
    <xf numFmtId="2" fontId="62" fillId="0" borderId="11" xfId="0" applyNumberFormat="1" applyFont="1" applyFill="1" applyBorder="1" applyAlignment="1">
      <alignment vertical="center" wrapText="1"/>
    </xf>
    <xf numFmtId="2" fontId="62" fillId="10" borderId="11" xfId="0" applyNumberFormat="1" applyFont="1" applyFill="1" applyBorder="1" applyAlignment="1">
      <alignment horizontal="center" vertical="center" wrapText="1"/>
    </xf>
    <xf numFmtId="2" fontId="59" fillId="10" borderId="11" xfId="0" applyNumberFormat="1" applyFont="1" applyFill="1" applyBorder="1" applyAlignment="1">
      <alignment horizontal="center" vertical="center"/>
    </xf>
    <xf numFmtId="2" fontId="62" fillId="10" borderId="11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2" fillId="33" borderId="11" xfId="0" applyNumberFormat="1" applyFont="1" applyFill="1" applyBorder="1" applyAlignment="1">
      <alignment horizontal="center" vertical="center" wrapText="1"/>
    </xf>
    <xf numFmtId="2" fontId="59" fillId="0" borderId="11" xfId="0" applyNumberFormat="1" applyFont="1" applyFill="1" applyBorder="1" applyAlignment="1">
      <alignment vertical="center"/>
    </xf>
    <xf numFmtId="1" fontId="62" fillId="33" borderId="16" xfId="0" applyNumberFormat="1" applyFont="1" applyFill="1" applyBorder="1" applyAlignment="1">
      <alignment horizontal="center" vertical="center" wrapText="1"/>
    </xf>
    <xf numFmtId="0" fontId="62" fillId="33" borderId="16" xfId="0" applyNumberFormat="1" applyFont="1" applyFill="1" applyBorder="1" applyAlignment="1">
      <alignment horizontal="center" vertical="center" wrapText="1"/>
    </xf>
    <xf numFmtId="2" fontId="59" fillId="33" borderId="16" xfId="0" applyNumberFormat="1" applyFont="1" applyFill="1" applyBorder="1" applyAlignment="1">
      <alignment horizontal="center" vertical="center" wrapText="1"/>
    </xf>
    <xf numFmtId="2" fontId="62" fillId="33" borderId="22" xfId="0" applyNumberFormat="1" applyFont="1" applyFill="1" applyBorder="1" applyAlignment="1">
      <alignment horizontal="center" vertical="center" wrapText="1"/>
    </xf>
    <xf numFmtId="2" fontId="62" fillId="33" borderId="23" xfId="0" applyNumberFormat="1" applyFont="1" applyFill="1" applyBorder="1" applyAlignment="1">
      <alignment horizontal="center" vertical="center" wrapText="1"/>
    </xf>
    <xf numFmtId="2" fontId="62" fillId="33" borderId="24" xfId="0" applyNumberFormat="1" applyFont="1" applyFill="1" applyBorder="1" applyAlignment="1">
      <alignment horizontal="center" vertical="center" wrapText="1"/>
    </xf>
    <xf numFmtId="2" fontId="59" fillId="0" borderId="12" xfId="0" applyNumberFormat="1" applyFont="1" applyFill="1" applyBorder="1" applyAlignment="1">
      <alignment vertical="center"/>
    </xf>
    <xf numFmtId="2" fontId="62" fillId="0" borderId="12" xfId="0" applyNumberFormat="1" applyFont="1" applyFill="1" applyBorder="1" applyAlignment="1">
      <alignment vertical="center" wrapText="1"/>
    </xf>
    <xf numFmtId="2" fontId="59" fillId="33" borderId="12" xfId="0" applyNumberFormat="1" applyFont="1" applyFill="1" applyBorder="1" applyAlignment="1">
      <alignment horizontal="center" vertical="center" wrapText="1"/>
    </xf>
    <xf numFmtId="2" fontId="62" fillId="0" borderId="23" xfId="0" applyNumberFormat="1" applyFont="1" applyFill="1" applyBorder="1" applyAlignment="1">
      <alignment horizontal="center" vertical="center" wrapText="1"/>
    </xf>
    <xf numFmtId="2" fontId="59" fillId="0" borderId="52" xfId="0" applyNumberFormat="1" applyFont="1" applyFill="1" applyBorder="1" applyAlignment="1">
      <alignment vertical="center" wrapText="1"/>
    </xf>
    <xf numFmtId="2" fontId="59" fillId="0" borderId="0" xfId="0" applyNumberFormat="1" applyFont="1" applyFill="1" applyBorder="1" applyAlignment="1">
      <alignment vertical="center" wrapText="1"/>
    </xf>
    <xf numFmtId="2" fontId="59" fillId="10" borderId="43" xfId="0" applyNumberFormat="1" applyFont="1" applyFill="1" applyBorder="1" applyAlignment="1">
      <alignment horizontal="center" vertical="center" wrapText="1"/>
    </xf>
    <xf numFmtId="2" fontId="59" fillId="10" borderId="43" xfId="0" applyNumberFormat="1" applyFont="1" applyFill="1" applyBorder="1" applyAlignment="1">
      <alignment horizontal="center" vertical="center"/>
    </xf>
    <xf numFmtId="2" fontId="59" fillId="10" borderId="44" xfId="0" applyNumberFormat="1" applyFont="1" applyFill="1" applyBorder="1" applyAlignment="1">
      <alignment horizontal="center" vertical="center"/>
    </xf>
    <xf numFmtId="2" fontId="62" fillId="10" borderId="22" xfId="0" applyNumberFormat="1" applyFont="1" applyFill="1" applyBorder="1" applyAlignment="1">
      <alignment horizontal="center" vertical="center"/>
    </xf>
    <xf numFmtId="2" fontId="62" fillId="10" borderId="23" xfId="0" applyNumberFormat="1" applyFont="1" applyFill="1" applyBorder="1" applyAlignment="1">
      <alignment horizontal="center" vertical="center" wrapText="1"/>
    </xf>
    <xf numFmtId="2" fontId="59" fillId="10" borderId="23" xfId="0" applyNumberFormat="1" applyFont="1" applyFill="1" applyBorder="1" applyAlignment="1">
      <alignment horizontal="center" vertical="center"/>
    </xf>
    <xf numFmtId="2" fontId="62" fillId="10" borderId="23" xfId="0" applyNumberFormat="1" applyFont="1" applyFill="1" applyBorder="1" applyAlignment="1">
      <alignment horizontal="center" vertical="center"/>
    </xf>
    <xf numFmtId="2" fontId="62" fillId="10" borderId="24" xfId="0" applyNumberFormat="1" applyFont="1" applyFill="1" applyBorder="1" applyAlignment="1">
      <alignment horizontal="center" vertical="center"/>
    </xf>
    <xf numFmtId="0" fontId="59" fillId="0" borderId="46" xfId="0" applyFont="1" applyFill="1" applyBorder="1" applyAlignment="1">
      <alignment horizontal="center" vertical="top" wrapText="1"/>
    </xf>
    <xf numFmtId="49" fontId="62" fillId="0" borderId="33" xfId="0" applyNumberFormat="1" applyFont="1" applyFill="1" applyBorder="1" applyAlignment="1">
      <alignment vertical="center" wrapText="1" readingOrder="1"/>
    </xf>
    <xf numFmtId="0" fontId="62" fillId="0" borderId="0" xfId="0" applyFont="1" applyFill="1" applyBorder="1" applyAlignment="1">
      <alignment horizontal="center" vertical="center" wrapText="1"/>
    </xf>
    <xf numFmtId="49" fontId="62" fillId="0" borderId="52" xfId="0" applyNumberFormat="1" applyFont="1" applyFill="1" applyBorder="1" applyAlignment="1">
      <alignment vertical="top" wrapText="1" readingOrder="1"/>
    </xf>
    <xf numFmtId="49" fontId="62" fillId="0" borderId="52" xfId="0" applyNumberFormat="1" applyFont="1" applyFill="1" applyBorder="1" applyAlignment="1">
      <alignment horizontal="left" vertical="top" wrapText="1" readingOrder="1"/>
    </xf>
    <xf numFmtId="178" fontId="62" fillId="0" borderId="0" xfId="0" applyNumberFormat="1" applyFont="1" applyFill="1" applyBorder="1" applyAlignment="1">
      <alignment horizontal="center" vertical="center" wrapText="1" readingOrder="1"/>
    </xf>
    <xf numFmtId="0" fontId="59" fillId="0" borderId="0" xfId="0" applyFont="1" applyFill="1" applyBorder="1" applyAlignment="1">
      <alignment horizontal="center" vertical="top" wrapText="1"/>
    </xf>
    <xf numFmtId="178" fontId="62" fillId="0" borderId="53" xfId="0" applyNumberFormat="1" applyFont="1" applyFill="1" applyBorder="1" applyAlignment="1">
      <alignment horizontal="center" vertical="center" wrapText="1" readingOrder="1"/>
    </xf>
    <xf numFmtId="2" fontId="62" fillId="0" borderId="3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top" wrapText="1"/>
    </xf>
    <xf numFmtId="49" fontId="62" fillId="0" borderId="39" xfId="0" applyNumberFormat="1" applyFont="1" applyFill="1" applyBorder="1" applyAlignment="1">
      <alignment horizontal="center" vertical="center" wrapText="1" readingOrder="1"/>
    </xf>
    <xf numFmtId="2" fontId="62" fillId="0" borderId="0" xfId="0" applyNumberFormat="1" applyFont="1" applyBorder="1" applyAlignment="1">
      <alignment horizontal="center" vertical="center" wrapText="1"/>
    </xf>
    <xf numFmtId="2" fontId="59" fillId="0" borderId="46" xfId="0" applyNumberFormat="1" applyFont="1" applyBorder="1" applyAlignment="1">
      <alignment horizontal="center" vertical="center" wrapText="1"/>
    </xf>
    <xf numFmtId="2" fontId="62" fillId="0" borderId="53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vertical="top" wrapText="1" readingOrder="1"/>
    </xf>
    <xf numFmtId="0" fontId="62" fillId="0" borderId="17" xfId="0" applyFont="1" applyBorder="1" applyAlignment="1">
      <alignment horizontal="center" vertical="top" wrapText="1"/>
    </xf>
    <xf numFmtId="2" fontId="62" fillId="33" borderId="11" xfId="0" applyNumberFormat="1" applyFont="1" applyFill="1" applyBorder="1" applyAlignment="1">
      <alignment horizontal="center" vertical="center" wrapText="1"/>
    </xf>
    <xf numFmtId="2" fontId="62" fillId="33" borderId="16" xfId="0" applyNumberFormat="1" applyFont="1" applyFill="1" applyBorder="1" applyAlignment="1">
      <alignment horizontal="center" vertical="center" wrapText="1"/>
    </xf>
    <xf numFmtId="2" fontId="62" fillId="33" borderId="12" xfId="0" applyNumberFormat="1" applyFont="1" applyFill="1" applyBorder="1" applyAlignment="1">
      <alignment horizontal="center" vertical="center" wrapText="1"/>
    </xf>
    <xf numFmtId="2" fontId="59" fillId="0" borderId="43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top" wrapText="1"/>
    </xf>
    <xf numFmtId="2" fontId="60" fillId="0" borderId="0" xfId="0" applyNumberFormat="1" applyFont="1" applyFill="1" applyAlignment="1">
      <alignment/>
    </xf>
    <xf numFmtId="2" fontId="59" fillId="6" borderId="43" xfId="0" applyNumberFormat="1" applyFont="1" applyFill="1" applyBorder="1" applyAlignment="1">
      <alignment horizontal="center" vertical="center" wrapText="1"/>
    </xf>
    <xf numFmtId="2" fontId="59" fillId="6" borderId="44" xfId="0" applyNumberFormat="1" applyFont="1" applyFill="1" applyBorder="1" applyAlignment="1">
      <alignment horizontal="center" vertical="center" wrapText="1"/>
    </xf>
    <xf numFmtId="2" fontId="62" fillId="6" borderId="11" xfId="0" applyNumberFormat="1" applyFont="1" applyFill="1" applyBorder="1" applyAlignment="1">
      <alignment horizontal="center" vertical="center" wrapText="1"/>
    </xf>
    <xf numFmtId="2" fontId="59" fillId="6" borderId="11" xfId="0" applyNumberFormat="1" applyFont="1" applyFill="1" applyBorder="1" applyAlignment="1">
      <alignment horizontal="center" vertical="center" wrapText="1"/>
    </xf>
    <xf numFmtId="2" fontId="62" fillId="6" borderId="22" xfId="0" applyNumberFormat="1" applyFont="1" applyFill="1" applyBorder="1" applyAlignment="1">
      <alignment horizontal="center" vertical="center" wrapText="1"/>
    </xf>
    <xf numFmtId="2" fontId="62" fillId="6" borderId="23" xfId="0" applyNumberFormat="1" applyFont="1" applyFill="1" applyBorder="1" applyAlignment="1">
      <alignment horizontal="center" vertical="center" wrapText="1"/>
    </xf>
    <xf numFmtId="2" fontId="59" fillId="6" borderId="23" xfId="0" applyNumberFormat="1" applyFont="1" applyFill="1" applyBorder="1" applyAlignment="1">
      <alignment horizontal="center" vertical="center" wrapText="1"/>
    </xf>
    <xf numFmtId="2" fontId="62" fillId="6" borderId="24" xfId="0" applyNumberFormat="1" applyFont="1" applyFill="1" applyBorder="1" applyAlignment="1">
      <alignment horizontal="center" vertical="center" wrapText="1"/>
    </xf>
    <xf numFmtId="0" fontId="62" fillId="6" borderId="12" xfId="0" applyFont="1" applyFill="1" applyBorder="1" applyAlignment="1">
      <alignment horizontal="center" vertical="top" wrapText="1"/>
    </xf>
    <xf numFmtId="2" fontId="59" fillId="6" borderId="16" xfId="0" applyNumberFormat="1" applyFont="1" applyFill="1" applyBorder="1" applyAlignment="1">
      <alignment horizontal="center" vertical="center" wrapText="1"/>
    </xf>
    <xf numFmtId="2" fontId="59" fillId="6" borderId="12" xfId="0" applyNumberFormat="1" applyFont="1" applyFill="1" applyBorder="1" applyAlignment="1">
      <alignment horizontal="center" vertical="center" wrapText="1"/>
    </xf>
    <xf numFmtId="2" fontId="59" fillId="6" borderId="0" xfId="0" applyNumberFormat="1" applyFont="1" applyFill="1" applyBorder="1" applyAlignment="1">
      <alignment vertical="center" wrapText="1"/>
    </xf>
    <xf numFmtId="2" fontId="60" fillId="6" borderId="0" xfId="0" applyNumberFormat="1" applyFont="1" applyFill="1" applyAlignment="1">
      <alignment/>
    </xf>
    <xf numFmtId="178" fontId="62" fillId="33" borderId="18" xfId="0" applyNumberFormat="1" applyFont="1" applyFill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readingOrder="1"/>
    </xf>
    <xf numFmtId="178" fontId="57" fillId="0" borderId="11" xfId="0" applyNumberFormat="1" applyFont="1" applyBorder="1" applyAlignment="1">
      <alignment horizontal="center" vertical="top" readingOrder="1"/>
    </xf>
    <xf numFmtId="2" fontId="62" fillId="0" borderId="23" xfId="0" applyNumberFormat="1" applyFont="1" applyFill="1" applyBorder="1" applyAlignment="1">
      <alignment horizontal="center" vertical="top" readingOrder="1"/>
    </xf>
    <xf numFmtId="2" fontId="59" fillId="0" borderId="15" xfId="0" applyNumberFormat="1" applyFont="1" applyBorder="1" applyAlignment="1">
      <alignment horizontal="center" vertical="center" wrapText="1"/>
    </xf>
    <xf numFmtId="2" fontId="62" fillId="0" borderId="32" xfId="0" applyNumberFormat="1" applyFont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 readingOrder="1"/>
    </xf>
    <xf numFmtId="178" fontId="62" fillId="0" borderId="12" xfId="0" applyNumberFormat="1" applyFont="1" applyBorder="1" applyAlignment="1">
      <alignment horizontal="center" vertical="top" wrapText="1" readingOrder="1"/>
    </xf>
    <xf numFmtId="2" fontId="62" fillId="0" borderId="39" xfId="0" applyNumberFormat="1" applyFont="1" applyFill="1" applyBorder="1" applyAlignment="1">
      <alignment horizontal="center" vertical="center" wrapText="1"/>
    </xf>
    <xf numFmtId="49" fontId="62" fillId="0" borderId="29" xfId="0" applyNumberFormat="1" applyFont="1" applyFill="1" applyBorder="1" applyAlignment="1">
      <alignment horizontal="center" vertical="center" wrapText="1" readingOrder="1"/>
    </xf>
    <xf numFmtId="49" fontId="62" fillId="0" borderId="29" xfId="0" applyNumberFormat="1" applyFont="1" applyFill="1" applyBorder="1" applyAlignment="1">
      <alignment horizontal="left" vertical="top" wrapText="1" readingOrder="1"/>
    </xf>
    <xf numFmtId="49" fontId="62" fillId="0" borderId="12" xfId="0" applyNumberFormat="1" applyFont="1" applyFill="1" applyBorder="1" applyAlignment="1">
      <alignment horizontal="center" vertical="top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2" fontId="62" fillId="0" borderId="16" xfId="0" applyNumberFormat="1" applyFont="1" applyFill="1" applyBorder="1" applyAlignment="1">
      <alignment horizontal="center" vertical="center" wrapText="1" readingOrder="1"/>
    </xf>
    <xf numFmtId="2" fontId="62" fillId="0" borderId="29" xfId="0" applyNumberFormat="1" applyFont="1" applyFill="1" applyBorder="1" applyAlignment="1">
      <alignment horizontal="center" vertical="center" wrapText="1" readingOrder="1"/>
    </xf>
    <xf numFmtId="0" fontId="59" fillId="0" borderId="54" xfId="0" applyFont="1" applyBorder="1" applyAlignment="1">
      <alignment horizontal="center" vertical="top" wrapText="1"/>
    </xf>
    <xf numFmtId="49" fontId="62" fillId="0" borderId="29" xfId="0" applyNumberFormat="1" applyFont="1" applyFill="1" applyBorder="1" applyAlignment="1">
      <alignment horizontal="center" vertical="top" wrapText="1" readingOrder="1"/>
    </xf>
    <xf numFmtId="49" fontId="62" fillId="0" borderId="16" xfId="0" applyNumberFormat="1" applyFont="1" applyFill="1" applyBorder="1" applyAlignment="1">
      <alignment horizontal="center" vertical="top" wrapText="1" readingOrder="1"/>
    </xf>
    <xf numFmtId="0" fontId="62" fillId="0" borderId="16" xfId="0" applyFont="1" applyFill="1" applyBorder="1" applyAlignment="1">
      <alignment horizontal="center" vertical="top" wrapText="1"/>
    </xf>
    <xf numFmtId="0" fontId="62" fillId="0" borderId="29" xfId="0" applyFont="1" applyFill="1" applyBorder="1" applyAlignment="1">
      <alignment horizontal="center" vertical="top" wrapText="1"/>
    </xf>
    <xf numFmtId="0" fontId="62" fillId="0" borderId="0" xfId="0" applyFont="1" applyBorder="1" applyAlignment="1">
      <alignment horizontal="right" vertical="top" wrapText="1" readingOrder="1"/>
    </xf>
    <xf numFmtId="49" fontId="62" fillId="0" borderId="11" xfId="0" applyNumberFormat="1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0" fontId="62" fillId="0" borderId="29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top" wrapText="1"/>
    </xf>
    <xf numFmtId="178" fontId="62" fillId="0" borderId="29" xfId="0" applyNumberFormat="1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top" wrapText="1"/>
    </xf>
    <xf numFmtId="0" fontId="62" fillId="0" borderId="29" xfId="0" applyFont="1" applyBorder="1" applyAlignment="1">
      <alignment vertical="top" wrapText="1"/>
    </xf>
    <xf numFmtId="0" fontId="62" fillId="0" borderId="16" xfId="0" applyFont="1" applyBorder="1" applyAlignment="1">
      <alignment vertical="top" wrapText="1"/>
    </xf>
    <xf numFmtId="1" fontId="62" fillId="0" borderId="12" xfId="0" applyNumberFormat="1" applyFont="1" applyBorder="1" applyAlignment="1">
      <alignment horizontal="center" vertical="center" wrapText="1" readingOrder="1"/>
    </xf>
    <xf numFmtId="0" fontId="62" fillId="0" borderId="52" xfId="0" applyFont="1" applyBorder="1" applyAlignment="1">
      <alignment horizontal="center" vertical="top" wrapText="1"/>
    </xf>
    <xf numFmtId="49" fontId="62" fillId="0" borderId="12" xfId="0" applyNumberFormat="1" applyFont="1" applyBorder="1" applyAlignment="1">
      <alignment horizontal="center" vertical="top" wrapText="1"/>
    </xf>
    <xf numFmtId="1" fontId="62" fillId="0" borderId="12" xfId="0" applyNumberFormat="1" applyFont="1" applyBorder="1" applyAlignment="1">
      <alignment horizontal="center" vertical="top" wrapText="1" readingOrder="1"/>
    </xf>
    <xf numFmtId="49" fontId="62" fillId="0" borderId="29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0" fontId="62" fillId="0" borderId="29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15" xfId="0" applyFont="1" applyBorder="1" applyAlignment="1">
      <alignment horizontal="center" vertical="top" wrapText="1"/>
    </xf>
    <xf numFmtId="178" fontId="62" fillId="0" borderId="39" xfId="0" applyNumberFormat="1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top" wrapText="1"/>
    </xf>
    <xf numFmtId="2" fontId="62" fillId="0" borderId="39" xfId="0" applyNumberFormat="1" applyFont="1" applyBorder="1" applyAlignment="1">
      <alignment horizontal="center" vertical="center" wrapText="1"/>
    </xf>
    <xf numFmtId="2" fontId="62" fillId="0" borderId="29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top" wrapText="1"/>
    </xf>
    <xf numFmtId="0" fontId="62" fillId="0" borderId="12" xfId="0" applyNumberFormat="1" applyFont="1" applyBorder="1" applyAlignment="1">
      <alignment horizontal="center" vertical="center" wrapText="1" readingOrder="1"/>
    </xf>
    <xf numFmtId="0" fontId="62" fillId="0" borderId="29" xfId="0" applyNumberFormat="1" applyFont="1" applyBorder="1" applyAlignment="1">
      <alignment horizontal="center" vertical="center" wrapText="1" readingOrder="1"/>
    </xf>
    <xf numFmtId="0" fontId="62" fillId="0" borderId="16" xfId="0" applyNumberFormat="1" applyFont="1" applyBorder="1" applyAlignment="1">
      <alignment horizontal="center" vertical="center" wrapText="1" readingOrder="1"/>
    </xf>
    <xf numFmtId="0" fontId="62" fillId="0" borderId="29" xfId="0" applyFont="1" applyBorder="1" applyAlignment="1">
      <alignment horizontal="center" vertical="top" wrapText="1" readingOrder="1"/>
    </xf>
    <xf numFmtId="0" fontId="62" fillId="0" borderId="32" xfId="0" applyFont="1" applyBorder="1" applyAlignment="1">
      <alignment horizontal="center" vertical="top" wrapText="1"/>
    </xf>
    <xf numFmtId="0" fontId="62" fillId="0" borderId="39" xfId="0" applyFont="1" applyBorder="1" applyAlignment="1">
      <alignment horizontal="center" vertical="top" wrapText="1"/>
    </xf>
    <xf numFmtId="0" fontId="62" fillId="0" borderId="29" xfId="0" applyFont="1" applyBorder="1" applyAlignment="1">
      <alignment horizontal="center" vertical="top" readingOrder="1"/>
    </xf>
    <xf numFmtId="0" fontId="62" fillId="0" borderId="52" xfId="0" applyFont="1" applyBorder="1" applyAlignment="1">
      <alignment horizontal="center" vertical="top" wrapText="1" readingOrder="1"/>
    </xf>
    <xf numFmtId="0" fontId="62" fillId="0" borderId="29" xfId="0" applyFont="1" applyBorder="1" applyAlignment="1">
      <alignment horizontal="left" vertical="top" wrapText="1" readingOrder="1"/>
    </xf>
    <xf numFmtId="0" fontId="59" fillId="0" borderId="52" xfId="0" applyFont="1" applyBorder="1" applyAlignment="1">
      <alignment horizontal="center" vertical="top" wrapText="1" readingOrder="1"/>
    </xf>
    <xf numFmtId="178" fontId="59" fillId="0" borderId="39" xfId="0" applyNumberFormat="1" applyFont="1" applyBorder="1" applyAlignment="1">
      <alignment horizontal="center" vertical="top" readingOrder="1"/>
    </xf>
    <xf numFmtId="0" fontId="59" fillId="0" borderId="12" xfId="0" applyFont="1" applyFill="1" applyBorder="1" applyAlignment="1">
      <alignment vertical="top" wrapText="1"/>
    </xf>
    <xf numFmtId="2" fontId="62" fillId="0" borderId="11" xfId="0" applyNumberFormat="1" applyFont="1" applyFill="1" applyBorder="1" applyAlignment="1">
      <alignment horizontal="center" vertical="top" readingOrder="1"/>
    </xf>
    <xf numFmtId="178" fontId="62" fillId="0" borderId="29" xfId="0" applyNumberFormat="1" applyFont="1" applyFill="1" applyBorder="1" applyAlignment="1">
      <alignment horizontal="center" vertical="top" readingOrder="1"/>
    </xf>
    <xf numFmtId="0" fontId="62" fillId="0" borderId="29" xfId="0" applyFont="1" applyBorder="1" applyAlignment="1">
      <alignment horizontal="center" vertical="center" wrapText="1" readingOrder="1"/>
    </xf>
    <xf numFmtId="0" fontId="0" fillId="0" borderId="2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49" fontId="59" fillId="0" borderId="0" xfId="34" applyNumberFormat="1" applyFont="1" applyFill="1" applyBorder="1" applyProtection="1">
      <alignment horizontal="left" vertical="top" wrapText="1"/>
      <protection/>
    </xf>
    <xf numFmtId="49" fontId="62" fillId="0" borderId="0" xfId="34" applyNumberFormat="1" applyFont="1" applyFill="1" applyBorder="1" applyProtection="1">
      <alignment horizontal="left" vertical="top" wrapText="1"/>
      <protection/>
    </xf>
    <xf numFmtId="49" fontId="62" fillId="33" borderId="0" xfId="34" applyNumberFormat="1" applyFont="1" applyFill="1" applyBorder="1" applyProtection="1">
      <alignment horizontal="left" vertical="top" wrapText="1"/>
      <protection/>
    </xf>
    <xf numFmtId="49" fontId="59" fillId="33" borderId="0" xfId="34" applyNumberFormat="1" applyFont="1" applyFill="1" applyBorder="1" applyProtection="1">
      <alignment horizontal="left" vertical="top" wrapText="1"/>
      <protection/>
    </xf>
    <xf numFmtId="2" fontId="59" fillId="0" borderId="44" xfId="0" applyNumberFormat="1" applyFont="1" applyBorder="1" applyAlignment="1">
      <alignment horizontal="center" vertical="center" wrapText="1"/>
    </xf>
    <xf numFmtId="2" fontId="62" fillId="0" borderId="22" xfId="0" applyNumberFormat="1" applyFont="1" applyBorder="1" applyAlignment="1">
      <alignment horizontal="center" vertical="center" readingOrder="1"/>
    </xf>
    <xf numFmtId="2" fontId="62" fillId="0" borderId="24" xfId="0" applyNumberFormat="1" applyFont="1" applyBorder="1" applyAlignment="1">
      <alignment horizontal="center" vertical="center" readingOrder="1"/>
    </xf>
    <xf numFmtId="0" fontId="57" fillId="0" borderId="22" xfId="0" applyFont="1" applyBorder="1" applyAlignment="1">
      <alignment horizontal="center" vertical="top" readingOrder="1"/>
    </xf>
    <xf numFmtId="0" fontId="0" fillId="0" borderId="39" xfId="0" applyFont="1" applyBorder="1" applyAlignment="1">
      <alignment/>
    </xf>
    <xf numFmtId="178" fontId="57" fillId="0" borderId="22" xfId="0" applyNumberFormat="1" applyFont="1" applyBorder="1" applyAlignment="1">
      <alignment horizontal="center" vertical="top" readingOrder="1"/>
    </xf>
    <xf numFmtId="2" fontId="62" fillId="0" borderId="22" xfId="0" applyNumberFormat="1" applyFont="1" applyFill="1" applyBorder="1" applyAlignment="1">
      <alignment horizontal="center" vertical="top" readingOrder="1"/>
    </xf>
    <xf numFmtId="2" fontId="62" fillId="0" borderId="24" xfId="0" applyNumberFormat="1" applyFont="1" applyFill="1" applyBorder="1" applyAlignment="1">
      <alignment horizontal="center" vertical="top" readingOrder="1"/>
    </xf>
    <xf numFmtId="0" fontId="0" fillId="0" borderId="30" xfId="0" applyFont="1" applyBorder="1" applyAlignment="1">
      <alignment/>
    </xf>
    <xf numFmtId="2" fontId="59" fillId="34" borderId="12" xfId="0" applyNumberFormat="1" applyFont="1" applyFill="1" applyBorder="1" applyAlignment="1">
      <alignment horizontal="center" vertical="center" wrapText="1" readingOrder="1"/>
    </xf>
    <xf numFmtId="2" fontId="62" fillId="34" borderId="29" xfId="0" applyNumberFormat="1" applyFont="1" applyFill="1" applyBorder="1" applyAlignment="1">
      <alignment horizontal="center" vertical="center" wrapText="1"/>
    </xf>
    <xf numFmtId="2" fontId="62" fillId="34" borderId="39" xfId="0" applyNumberFormat="1" applyFont="1" applyFill="1" applyBorder="1" applyAlignment="1">
      <alignment horizontal="center" vertical="center" wrapText="1"/>
    </xf>
    <xf numFmtId="2" fontId="62" fillId="34" borderId="16" xfId="0" applyNumberFormat="1" applyFont="1" applyFill="1" applyBorder="1" applyAlignment="1">
      <alignment horizontal="center" vertical="center" wrapText="1"/>
    </xf>
    <xf numFmtId="2" fontId="59" fillId="34" borderId="12" xfId="0" applyNumberFormat="1" applyFont="1" applyFill="1" applyBorder="1" applyAlignment="1">
      <alignment horizontal="center" vertical="center" wrapText="1"/>
    </xf>
    <xf numFmtId="0" fontId="62" fillId="33" borderId="40" xfId="0" applyNumberFormat="1" applyFont="1" applyFill="1" applyBorder="1" applyAlignment="1">
      <alignment horizontal="center" vertical="center" textRotation="90" wrapText="1"/>
    </xf>
    <xf numFmtId="0" fontId="62" fillId="33" borderId="29" xfId="0" applyNumberFormat="1" applyFont="1" applyFill="1" applyBorder="1" applyAlignment="1">
      <alignment horizontal="center" vertical="center" textRotation="90" wrapText="1"/>
    </xf>
    <xf numFmtId="0" fontId="62" fillId="33" borderId="51" xfId="0" applyNumberFormat="1" applyFont="1" applyFill="1" applyBorder="1" applyAlignment="1">
      <alignment horizontal="center" vertical="center" textRotation="90" wrapText="1"/>
    </xf>
    <xf numFmtId="1" fontId="62" fillId="6" borderId="17" xfId="0" applyNumberFormat="1" applyFont="1" applyFill="1" applyBorder="1" applyAlignment="1">
      <alignment horizontal="center" vertical="center" wrapText="1"/>
    </xf>
    <xf numFmtId="1" fontId="62" fillId="6" borderId="18" xfId="0" applyNumberFormat="1" applyFont="1" applyFill="1" applyBorder="1" applyAlignment="1">
      <alignment horizontal="center" vertical="center" wrapText="1"/>
    </xf>
    <xf numFmtId="1" fontId="62" fillId="6" borderId="19" xfId="0" applyNumberFormat="1" applyFont="1" applyFill="1" applyBorder="1" applyAlignment="1">
      <alignment horizontal="center" vertical="center" wrapText="1"/>
    </xf>
    <xf numFmtId="0" fontId="62" fillId="6" borderId="40" xfId="0" applyNumberFormat="1" applyFont="1" applyFill="1" applyBorder="1" applyAlignment="1">
      <alignment horizontal="center" vertical="center" wrapText="1"/>
    </xf>
    <xf numFmtId="0" fontId="62" fillId="6" borderId="29" xfId="0" applyNumberFormat="1" applyFont="1" applyFill="1" applyBorder="1" applyAlignment="1">
      <alignment horizontal="center" vertical="center" wrapText="1"/>
    </xf>
    <xf numFmtId="0" fontId="62" fillId="6" borderId="51" xfId="0" applyNumberFormat="1" applyFont="1" applyFill="1" applyBorder="1" applyAlignment="1">
      <alignment horizontal="center" vertical="center" wrapText="1"/>
    </xf>
    <xf numFmtId="1" fontId="60" fillId="0" borderId="41" xfId="0" applyNumberFormat="1" applyFont="1" applyBorder="1" applyAlignment="1">
      <alignment horizontal="center"/>
    </xf>
    <xf numFmtId="1" fontId="60" fillId="0" borderId="55" xfId="0" applyNumberFormat="1" applyFont="1" applyBorder="1" applyAlignment="1">
      <alignment horizontal="center"/>
    </xf>
    <xf numFmtId="1" fontId="60" fillId="0" borderId="56" xfId="0" applyNumberFormat="1" applyFont="1" applyBorder="1" applyAlignment="1">
      <alignment horizontal="center"/>
    </xf>
    <xf numFmtId="1" fontId="62" fillId="6" borderId="41" xfId="0" applyNumberFormat="1" applyFont="1" applyFill="1" applyBorder="1" applyAlignment="1">
      <alignment horizontal="center" vertical="center" wrapText="1"/>
    </xf>
    <xf numFmtId="1" fontId="62" fillId="6" borderId="56" xfId="0" applyNumberFormat="1" applyFont="1" applyFill="1" applyBorder="1" applyAlignment="1">
      <alignment horizontal="center" vertical="center" wrapText="1"/>
    </xf>
    <xf numFmtId="1" fontId="62" fillId="33" borderId="17" xfId="0" applyNumberFormat="1" applyFont="1" applyFill="1" applyBorder="1" applyAlignment="1">
      <alignment horizontal="center" vertical="center" wrapText="1"/>
    </xf>
    <xf numFmtId="1" fontId="62" fillId="33" borderId="19" xfId="0" applyNumberFormat="1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2" fontId="62" fillId="6" borderId="40" xfId="0" applyNumberFormat="1" applyFont="1" applyFill="1" applyBorder="1" applyAlignment="1">
      <alignment horizontal="center" vertical="center" wrapText="1"/>
    </xf>
    <xf numFmtId="2" fontId="62" fillId="6" borderId="51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2" fontId="62" fillId="6" borderId="43" xfId="0" applyNumberFormat="1" applyFont="1" applyFill="1" applyBorder="1" applyAlignment="1">
      <alignment horizontal="center" vertical="center" wrapText="1"/>
    </xf>
    <xf numFmtId="2" fontId="62" fillId="6" borderId="11" xfId="0" applyNumberFormat="1" applyFont="1" applyFill="1" applyBorder="1" applyAlignment="1">
      <alignment horizontal="center" vertical="center" wrapText="1"/>
    </xf>
    <xf numFmtId="2" fontId="62" fillId="6" borderId="23" xfId="0" applyNumberFormat="1" applyFont="1" applyFill="1" applyBorder="1" applyAlignment="1">
      <alignment horizontal="center" vertical="center" wrapText="1"/>
    </xf>
    <xf numFmtId="0" fontId="62" fillId="0" borderId="40" xfId="0" applyNumberFormat="1" applyFont="1" applyFill="1" applyBorder="1" applyAlignment="1">
      <alignment horizontal="center" vertical="center" textRotation="90" wrapText="1"/>
    </xf>
    <xf numFmtId="0" fontId="62" fillId="0" borderId="29" xfId="0" applyNumberFormat="1" applyFont="1" applyFill="1" applyBorder="1" applyAlignment="1">
      <alignment horizontal="center" vertical="center" textRotation="90" wrapText="1"/>
    </xf>
    <xf numFmtId="0" fontId="62" fillId="0" borderId="51" xfId="0" applyNumberFormat="1" applyFont="1" applyFill="1" applyBorder="1" applyAlignment="1">
      <alignment horizontal="center" vertical="center" textRotation="90" wrapText="1"/>
    </xf>
    <xf numFmtId="0" fontId="66" fillId="33" borderId="0" xfId="0" applyFont="1" applyFill="1" applyBorder="1" applyAlignment="1">
      <alignment horizontal="center" vertical="center" wrapText="1"/>
    </xf>
    <xf numFmtId="0" fontId="59" fillId="6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1" fontId="62" fillId="33" borderId="18" xfId="0" applyNumberFormat="1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top" wrapText="1"/>
    </xf>
    <xf numFmtId="0" fontId="62" fillId="33" borderId="53" xfId="0" applyFont="1" applyFill="1" applyBorder="1" applyAlignment="1">
      <alignment horizontal="center" vertical="top" wrapText="1"/>
    </xf>
    <xf numFmtId="0" fontId="59" fillId="33" borderId="11" xfId="0" applyFont="1" applyFill="1" applyBorder="1" applyAlignment="1">
      <alignment horizontal="center" vertical="center" wrapText="1"/>
    </xf>
    <xf numFmtId="2" fontId="59" fillId="6" borderId="40" xfId="0" applyNumberFormat="1" applyFont="1" applyFill="1" applyBorder="1" applyAlignment="1">
      <alignment horizontal="center" vertical="center" wrapText="1"/>
    </xf>
    <xf numFmtId="2" fontId="59" fillId="6" borderId="29" xfId="0" applyNumberFormat="1" applyFont="1" applyFill="1" applyBorder="1" applyAlignment="1">
      <alignment horizontal="center" vertical="center" wrapText="1"/>
    </xf>
    <xf numFmtId="2" fontId="59" fillId="6" borderId="51" xfId="0" applyNumberFormat="1" applyFont="1" applyFill="1" applyBorder="1" applyAlignment="1">
      <alignment horizontal="center" vertical="center" wrapText="1"/>
    </xf>
    <xf numFmtId="2" fontId="62" fillId="33" borderId="43" xfId="0" applyNumberFormat="1" applyFont="1" applyFill="1" applyBorder="1" applyAlignment="1">
      <alignment horizontal="center" vertical="center" wrapText="1"/>
    </xf>
    <xf numFmtId="2" fontId="62" fillId="33" borderId="11" xfId="0" applyNumberFormat="1" applyFont="1" applyFill="1" applyBorder="1" applyAlignment="1">
      <alignment horizontal="center" vertical="center" wrapText="1"/>
    </xf>
    <xf numFmtId="2" fontId="62" fillId="33" borderId="23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2" fontId="62" fillId="0" borderId="57" xfId="0" applyNumberFormat="1" applyFont="1" applyFill="1" applyBorder="1" applyAlignment="1">
      <alignment horizontal="center" vertical="center" wrapText="1"/>
    </xf>
    <xf numFmtId="2" fontId="62" fillId="0" borderId="39" xfId="0" applyNumberFormat="1" applyFont="1" applyFill="1" applyBorder="1" applyAlignment="1">
      <alignment horizontal="center" vertical="center" wrapText="1"/>
    </xf>
    <xf numFmtId="2" fontId="62" fillId="0" borderId="58" xfId="0" applyNumberFormat="1" applyFont="1" applyFill="1" applyBorder="1" applyAlignment="1">
      <alignment horizontal="center" vertical="center" wrapText="1"/>
    </xf>
    <xf numFmtId="0" fontId="66" fillId="33" borderId="52" xfId="0" applyFont="1" applyFill="1" applyBorder="1" applyAlignment="1">
      <alignment horizontal="center" vertical="center" wrapText="1"/>
    </xf>
    <xf numFmtId="0" fontId="67" fillId="33" borderId="52" xfId="0" applyFont="1" applyFill="1" applyBorder="1" applyAlignment="1">
      <alignment horizontal="center" vertical="top" wrapText="1"/>
    </xf>
    <xf numFmtId="0" fontId="67" fillId="33" borderId="0" xfId="0" applyFont="1" applyFill="1" applyBorder="1" applyAlignment="1">
      <alignment horizontal="center" vertical="top" wrapText="1"/>
    </xf>
    <xf numFmtId="0" fontId="67" fillId="33" borderId="31" xfId="0" applyFont="1" applyFill="1" applyBorder="1" applyAlignment="1">
      <alignment horizontal="center" vertical="top" wrapText="1"/>
    </xf>
    <xf numFmtId="0" fontId="67" fillId="33" borderId="53" xfId="0" applyFont="1" applyFill="1" applyBorder="1" applyAlignment="1">
      <alignment horizontal="center" vertical="top" wrapText="1"/>
    </xf>
    <xf numFmtId="178" fontId="59" fillId="33" borderId="50" xfId="0" applyNumberFormat="1" applyFont="1" applyFill="1" applyBorder="1" applyAlignment="1">
      <alignment horizontal="left" vertical="center"/>
    </xf>
    <xf numFmtId="178" fontId="59" fillId="33" borderId="54" xfId="0" applyNumberFormat="1" applyFont="1" applyFill="1" applyBorder="1" applyAlignment="1">
      <alignment horizontal="left" vertical="center"/>
    </xf>
    <xf numFmtId="178" fontId="59" fillId="33" borderId="33" xfId="0" applyNumberFormat="1" applyFont="1" applyFill="1" applyBorder="1" applyAlignment="1">
      <alignment horizontal="left" vertical="center"/>
    </xf>
    <xf numFmtId="1" fontId="62" fillId="33" borderId="11" xfId="0" applyNumberFormat="1" applyFont="1" applyFill="1" applyBorder="1" applyAlignment="1">
      <alignment horizontal="center" vertical="center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/>
    </xf>
    <xf numFmtId="178" fontId="62" fillId="13" borderId="52" xfId="0" applyNumberFormat="1" applyFont="1" applyFill="1" applyBorder="1" applyAlignment="1">
      <alignment horizontal="center" vertical="center" wrapText="1"/>
    </xf>
    <xf numFmtId="178" fontId="62" fillId="13" borderId="39" xfId="0" applyNumberFormat="1" applyFont="1" applyFill="1" applyBorder="1" applyAlignment="1">
      <alignment horizontal="center" vertical="center" wrapText="1"/>
    </xf>
    <xf numFmtId="178" fontId="68" fillId="33" borderId="11" xfId="0" applyNumberFormat="1" applyFont="1" applyFill="1" applyBorder="1" applyAlignment="1">
      <alignment horizontal="center" vertical="center" wrapText="1"/>
    </xf>
    <xf numFmtId="0" fontId="59" fillId="33" borderId="50" xfId="0" applyFont="1" applyFill="1" applyBorder="1" applyAlignment="1">
      <alignment horizontal="left"/>
    </xf>
    <xf numFmtId="0" fontId="59" fillId="33" borderId="54" xfId="0" applyFont="1" applyFill="1" applyBorder="1" applyAlignment="1">
      <alignment horizontal="left"/>
    </xf>
    <xf numFmtId="0" fontId="59" fillId="33" borderId="33" xfId="0" applyFont="1" applyFill="1" applyBorder="1" applyAlignment="1">
      <alignment horizontal="left"/>
    </xf>
    <xf numFmtId="178" fontId="62" fillId="0" borderId="50" xfId="0" applyNumberFormat="1" applyFont="1" applyBorder="1" applyAlignment="1">
      <alignment horizontal="center" vertical="top" wrapText="1"/>
    </xf>
    <xf numFmtId="178" fontId="62" fillId="0" borderId="54" xfId="0" applyNumberFormat="1" applyFont="1" applyBorder="1" applyAlignment="1">
      <alignment horizontal="center" vertical="top" wrapText="1"/>
    </xf>
    <xf numFmtId="178" fontId="62" fillId="0" borderId="33" xfId="0" applyNumberFormat="1" applyFont="1" applyBorder="1" applyAlignment="1">
      <alignment horizontal="center" vertical="top" wrapText="1"/>
    </xf>
    <xf numFmtId="49" fontId="62" fillId="0" borderId="12" xfId="0" applyNumberFormat="1" applyFont="1" applyFill="1" applyBorder="1" applyAlignment="1">
      <alignment horizontal="center" vertical="top" wrapText="1" readingOrder="1"/>
    </xf>
    <xf numFmtId="0" fontId="0" fillId="0" borderId="29" xfId="0" applyBorder="1" applyAlignment="1">
      <alignment horizontal="center" vertical="top" wrapText="1" readingOrder="1"/>
    </xf>
    <xf numFmtId="0" fontId="0" fillId="0" borderId="16" xfId="0" applyBorder="1" applyAlignment="1">
      <alignment horizontal="center" vertical="top" wrapText="1" readingOrder="1"/>
    </xf>
    <xf numFmtId="0" fontId="62" fillId="0" borderId="12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wrapText="1" readingOrder="1"/>
    </xf>
    <xf numFmtId="0" fontId="0" fillId="0" borderId="16" xfId="0" applyFont="1" applyFill="1" applyBorder="1" applyAlignment="1">
      <alignment horizontal="center" wrapText="1" readingOrder="1"/>
    </xf>
    <xf numFmtId="49" fontId="62" fillId="0" borderId="29" xfId="0" applyNumberFormat="1" applyFont="1" applyFill="1" applyBorder="1" applyAlignment="1">
      <alignment horizontal="center" vertical="top" wrapText="1" readingOrder="1"/>
    </xf>
    <xf numFmtId="49" fontId="62" fillId="0" borderId="16" xfId="0" applyNumberFormat="1" applyFont="1" applyFill="1" applyBorder="1" applyAlignment="1">
      <alignment horizontal="center" vertical="top" wrapText="1" readingOrder="1"/>
    </xf>
    <xf numFmtId="49" fontId="62" fillId="0" borderId="12" xfId="0" applyNumberFormat="1" applyFont="1" applyFill="1" applyBorder="1" applyAlignment="1">
      <alignment horizontal="left" vertical="top" wrapText="1" readingOrder="1"/>
    </xf>
    <xf numFmtId="49" fontId="62" fillId="0" borderId="29" xfId="0" applyNumberFormat="1" applyFont="1" applyFill="1" applyBorder="1" applyAlignment="1">
      <alignment horizontal="left" vertical="top" wrapText="1" readingOrder="1"/>
    </xf>
    <xf numFmtId="49" fontId="62" fillId="0" borderId="16" xfId="0" applyNumberFormat="1" applyFont="1" applyFill="1" applyBorder="1" applyAlignment="1">
      <alignment horizontal="left" vertical="top" wrapText="1" readingOrder="1"/>
    </xf>
    <xf numFmtId="0" fontId="62" fillId="0" borderId="29" xfId="0" applyFont="1" applyFill="1" applyBorder="1" applyAlignment="1">
      <alignment horizontal="center" vertical="top" wrapText="1"/>
    </xf>
    <xf numFmtId="0" fontId="62" fillId="0" borderId="16" xfId="0" applyFont="1" applyFill="1" applyBorder="1" applyAlignment="1">
      <alignment horizontal="center" vertical="top" wrapText="1"/>
    </xf>
    <xf numFmtId="49" fontId="62" fillId="0" borderId="12" xfId="0" applyNumberFormat="1" applyFont="1" applyFill="1" applyBorder="1" applyAlignment="1">
      <alignment horizontal="center" vertical="center" wrapText="1" readingOrder="1"/>
    </xf>
    <xf numFmtId="49" fontId="62" fillId="0" borderId="29" xfId="0" applyNumberFormat="1" applyFont="1" applyFill="1" applyBorder="1" applyAlignment="1">
      <alignment horizontal="center" vertical="center" wrapText="1" readingOrder="1"/>
    </xf>
    <xf numFmtId="49" fontId="62" fillId="0" borderId="16" xfId="0" applyNumberFormat="1" applyFont="1" applyFill="1" applyBorder="1" applyAlignment="1">
      <alignment horizontal="center" vertical="center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49" fontId="0" fillId="0" borderId="12" xfId="0" applyNumberFormat="1" applyFont="1" applyFill="1" applyBorder="1" applyAlignment="1">
      <alignment horizontal="center" vertical="center" wrapText="1" readingOrder="1"/>
    </xf>
    <xf numFmtId="0" fontId="0" fillId="0" borderId="29" xfId="0" applyFont="1" applyFill="1" applyBorder="1" applyAlignment="1">
      <alignment horizontal="center" vertical="center" wrapText="1" readingOrder="1"/>
    </xf>
    <xf numFmtId="0" fontId="0" fillId="0" borderId="16" xfId="0" applyFont="1" applyFill="1" applyBorder="1" applyAlignment="1">
      <alignment horizontal="center" vertical="center" wrapText="1" readingOrder="1"/>
    </xf>
    <xf numFmtId="49" fontId="62" fillId="0" borderId="12" xfId="0" applyNumberFormat="1" applyFont="1" applyFill="1" applyBorder="1" applyAlignment="1">
      <alignment horizontal="left" vertical="center" wrapText="1" readingOrder="1"/>
    </xf>
    <xf numFmtId="49" fontId="62" fillId="0" borderId="29" xfId="0" applyNumberFormat="1" applyFont="1" applyFill="1" applyBorder="1" applyAlignment="1">
      <alignment horizontal="left" vertical="center" wrapText="1" readingOrder="1"/>
    </xf>
    <xf numFmtId="49" fontId="62" fillId="0" borderId="16" xfId="0" applyNumberFormat="1" applyFont="1" applyFill="1" applyBorder="1" applyAlignment="1">
      <alignment horizontal="left" vertical="center" wrapText="1" readingOrder="1"/>
    </xf>
    <xf numFmtId="49" fontId="62" fillId="0" borderId="11" xfId="0" applyNumberFormat="1" applyFont="1" applyFill="1" applyBorder="1" applyAlignment="1">
      <alignment horizontal="left" vertical="top" wrapText="1" readingOrder="1"/>
    </xf>
    <xf numFmtId="0" fontId="0" fillId="0" borderId="11" xfId="0" applyFont="1" applyFill="1" applyBorder="1" applyAlignment="1">
      <alignment horizontal="left" wrapText="1" readingOrder="1"/>
    </xf>
    <xf numFmtId="0" fontId="0" fillId="0" borderId="12" xfId="0" applyFont="1" applyFill="1" applyBorder="1" applyAlignment="1">
      <alignment horizontal="left" wrapText="1" readingOrder="1"/>
    </xf>
    <xf numFmtId="0" fontId="62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9" fontId="62" fillId="0" borderId="12" xfId="0" applyNumberFormat="1" applyFont="1" applyBorder="1" applyAlignment="1">
      <alignment horizontal="center" vertical="top" wrapText="1" readingOrder="1"/>
    </xf>
    <xf numFmtId="0" fontId="0" fillId="0" borderId="29" xfId="0" applyFont="1" applyBorder="1" applyAlignment="1">
      <alignment horizontal="center" wrapText="1" readingOrder="1"/>
    </xf>
    <xf numFmtId="0" fontId="0" fillId="0" borderId="16" xfId="0" applyFont="1" applyBorder="1" applyAlignment="1">
      <alignment horizontal="center" wrapText="1" readingOrder="1"/>
    </xf>
    <xf numFmtId="0" fontId="62" fillId="0" borderId="12" xfId="0" applyFont="1" applyFill="1" applyBorder="1" applyAlignment="1">
      <alignment horizontal="center" vertical="top" wrapText="1" readingOrder="1"/>
    </xf>
    <xf numFmtId="0" fontId="0" fillId="0" borderId="29" xfId="0" applyFont="1" applyFill="1" applyBorder="1" applyAlignment="1">
      <alignment wrapText="1" readingOrder="1"/>
    </xf>
    <xf numFmtId="0" fontId="0" fillId="0" borderId="16" xfId="0" applyFont="1" applyFill="1" applyBorder="1" applyAlignment="1">
      <alignment wrapText="1" readingOrder="1"/>
    </xf>
    <xf numFmtId="2" fontId="62" fillId="0" borderId="29" xfId="0" applyNumberFormat="1" applyFont="1" applyFill="1" applyBorder="1" applyAlignment="1">
      <alignment horizontal="center" vertical="center" wrapText="1" readingOrder="1"/>
    </xf>
    <xf numFmtId="49" fontId="59" fillId="0" borderId="50" xfId="0" applyNumberFormat="1" applyFont="1" applyFill="1" applyBorder="1" applyAlignment="1">
      <alignment horizontal="left" vertical="center" wrapText="1" readingOrder="1"/>
    </xf>
    <xf numFmtId="49" fontId="59" fillId="0" borderId="54" xfId="0" applyNumberFormat="1" applyFont="1" applyFill="1" applyBorder="1" applyAlignment="1">
      <alignment horizontal="left" vertical="center" wrapText="1" readingOrder="1"/>
    </xf>
    <xf numFmtId="49" fontId="59" fillId="0" borderId="33" xfId="0" applyNumberFormat="1" applyFont="1" applyFill="1" applyBorder="1" applyAlignment="1">
      <alignment horizontal="left" vertical="center" wrapText="1" readingOrder="1"/>
    </xf>
    <xf numFmtId="0" fontId="0" fillId="0" borderId="29" xfId="0" applyFont="1" applyFill="1" applyBorder="1" applyAlignment="1">
      <alignment horizontal="left" wrapText="1" readingOrder="1"/>
    </xf>
    <xf numFmtId="0" fontId="0" fillId="0" borderId="16" xfId="0" applyFont="1" applyFill="1" applyBorder="1" applyAlignment="1">
      <alignment horizontal="left" wrapText="1" readingOrder="1"/>
    </xf>
    <xf numFmtId="2" fontId="62" fillId="0" borderId="16" xfId="0" applyNumberFormat="1" applyFont="1" applyFill="1" applyBorder="1" applyAlignment="1">
      <alignment horizontal="center" vertical="center" wrapText="1" readingOrder="1"/>
    </xf>
    <xf numFmtId="2" fontId="62" fillId="0" borderId="11" xfId="0" applyNumberFormat="1" applyFont="1" applyFill="1" applyBorder="1" applyAlignment="1">
      <alignment horizontal="center" vertical="center" wrapText="1" readingOrder="1"/>
    </xf>
    <xf numFmtId="49" fontId="62" fillId="0" borderId="12" xfId="0" applyNumberFormat="1" applyFont="1" applyFill="1" applyBorder="1" applyAlignment="1">
      <alignment vertical="center" wrapText="1" readingOrder="1"/>
    </xf>
    <xf numFmtId="49" fontId="62" fillId="0" borderId="11" xfId="0" applyNumberFormat="1" applyFont="1" applyFill="1" applyBorder="1" applyAlignment="1">
      <alignment horizontal="center" vertical="top" wrapText="1" readingOrder="1"/>
    </xf>
    <xf numFmtId="0" fontId="62" fillId="0" borderId="29" xfId="0" applyFont="1" applyFill="1" applyBorder="1" applyAlignment="1">
      <alignment horizontal="center" vertical="top" wrapText="1" readingOrder="1"/>
    </xf>
    <xf numFmtId="0" fontId="62" fillId="0" borderId="16" xfId="0" applyFont="1" applyFill="1" applyBorder="1" applyAlignment="1">
      <alignment horizontal="center" vertical="top" wrapText="1" readingOrder="1"/>
    </xf>
    <xf numFmtId="0" fontId="59" fillId="0" borderId="12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0" fontId="59" fillId="0" borderId="50" xfId="0" applyFont="1" applyBorder="1" applyAlignment="1">
      <alignment horizontal="center" vertical="top" wrapText="1"/>
    </xf>
    <xf numFmtId="0" fontId="59" fillId="0" borderId="54" xfId="0" applyFont="1" applyBorder="1" applyAlignment="1">
      <alignment horizontal="center" vertical="top" wrapText="1"/>
    </xf>
    <xf numFmtId="0" fontId="59" fillId="0" borderId="33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right" vertical="top" wrapText="1" readingOrder="1"/>
    </xf>
    <xf numFmtId="0" fontId="62" fillId="0" borderId="11" xfId="0" applyFont="1" applyBorder="1" applyAlignment="1">
      <alignment vertical="top" wrapText="1"/>
    </xf>
    <xf numFmtId="0" fontId="59" fillId="0" borderId="11" xfId="0" applyFont="1" applyBorder="1" applyAlignment="1">
      <alignment vertical="top" wrapText="1"/>
    </xf>
    <xf numFmtId="49" fontId="62" fillId="0" borderId="29" xfId="0" applyNumberFormat="1" applyFont="1" applyBorder="1" applyAlignment="1">
      <alignment horizontal="center" vertical="top" wrapText="1" readingOrder="1"/>
    </xf>
    <xf numFmtId="0" fontId="0" fillId="0" borderId="29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right" vertical="top" wrapText="1" readingOrder="1"/>
    </xf>
    <xf numFmtId="0" fontId="70" fillId="0" borderId="0" xfId="0" applyFont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right" wrapText="1" readingOrder="1"/>
    </xf>
    <xf numFmtId="49" fontId="59" fillId="0" borderId="11" xfId="0" applyNumberFormat="1" applyFont="1" applyFill="1" applyBorder="1" applyAlignment="1">
      <alignment horizontal="left" vertical="center" wrapText="1" readingOrder="1"/>
    </xf>
    <xf numFmtId="0" fontId="62" fillId="0" borderId="50" xfId="0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vertical="top" wrapText="1"/>
    </xf>
    <xf numFmtId="2" fontId="59" fillId="0" borderId="43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top" wrapText="1" readingOrder="1"/>
    </xf>
    <xf numFmtId="0" fontId="0" fillId="0" borderId="16" xfId="0" applyFont="1" applyFill="1" applyBorder="1" applyAlignment="1">
      <alignment horizontal="center" vertical="top" wrapText="1" readingOrder="1"/>
    </xf>
    <xf numFmtId="49" fontId="62" fillId="0" borderId="11" xfId="0" applyNumberFormat="1" applyFont="1" applyFill="1" applyBorder="1" applyAlignment="1">
      <alignment horizontal="left" vertical="center" wrapText="1" readingOrder="1"/>
    </xf>
    <xf numFmtId="0" fontId="59" fillId="0" borderId="0" xfId="33" applyNumberFormat="1" applyFont="1" applyBorder="1" applyAlignment="1" applyProtection="1">
      <alignment horizontal="center" vertical="center" wrapText="1"/>
      <protection locked="0"/>
    </xf>
    <xf numFmtId="0" fontId="59" fillId="0" borderId="0" xfId="33" applyFont="1" applyBorder="1" applyAlignment="1">
      <alignment horizontal="center" vertical="center" wrapText="1"/>
      <protection/>
    </xf>
    <xf numFmtId="0" fontId="57" fillId="0" borderId="15" xfId="0" applyFont="1" applyFill="1" applyBorder="1" applyAlignment="1">
      <alignment horizontal="center" readingOrder="1"/>
    </xf>
    <xf numFmtId="0" fontId="57" fillId="0" borderId="46" xfId="0" applyFont="1" applyFill="1" applyBorder="1" applyAlignment="1">
      <alignment horizontal="center" readingOrder="1"/>
    </xf>
    <xf numFmtId="0" fontId="57" fillId="0" borderId="32" xfId="0" applyFont="1" applyFill="1" applyBorder="1" applyAlignment="1">
      <alignment horizontal="center" readingOrder="1"/>
    </xf>
    <xf numFmtId="0" fontId="57" fillId="0" borderId="52" xfId="0" applyFont="1" applyFill="1" applyBorder="1" applyAlignment="1">
      <alignment horizontal="center" readingOrder="1"/>
    </xf>
    <xf numFmtId="0" fontId="57" fillId="0" borderId="0" xfId="0" applyFont="1" applyFill="1" applyBorder="1" applyAlignment="1">
      <alignment horizontal="center" readingOrder="1"/>
    </xf>
    <xf numFmtId="0" fontId="57" fillId="0" borderId="39" xfId="0" applyFont="1" applyFill="1" applyBorder="1" applyAlignment="1">
      <alignment horizontal="center" readingOrder="1"/>
    </xf>
    <xf numFmtId="0" fontId="57" fillId="0" borderId="31" xfId="0" applyFont="1" applyFill="1" applyBorder="1" applyAlignment="1">
      <alignment horizontal="center" readingOrder="1"/>
    </xf>
    <xf numFmtId="0" fontId="57" fillId="0" borderId="53" xfId="0" applyFont="1" applyFill="1" applyBorder="1" applyAlignment="1">
      <alignment horizontal="center" readingOrder="1"/>
    </xf>
    <xf numFmtId="0" fontId="57" fillId="0" borderId="30" xfId="0" applyFont="1" applyFill="1" applyBorder="1" applyAlignment="1">
      <alignment horizontal="center" readingOrder="1"/>
    </xf>
    <xf numFmtId="178" fontId="59" fillId="34" borderId="43" xfId="0" applyNumberFormat="1" applyFont="1" applyFill="1" applyBorder="1" applyAlignment="1">
      <alignment horizontal="center" vertical="center" wrapText="1"/>
    </xf>
    <xf numFmtId="178" fontId="59" fillId="34" borderId="11" xfId="0" applyNumberFormat="1" applyFont="1" applyFill="1" applyBorder="1" applyAlignment="1">
      <alignment horizontal="center" vertical="center" wrapText="1"/>
    </xf>
    <xf numFmtId="178" fontId="59" fillId="0" borderId="43" xfId="0" applyNumberFormat="1" applyFont="1" applyFill="1" applyBorder="1" applyAlignment="1">
      <alignment horizontal="center" vertical="center" wrapText="1"/>
    </xf>
    <xf numFmtId="178" fontId="59" fillId="0" borderId="11" xfId="0" applyNumberFormat="1" applyFont="1" applyFill="1" applyBorder="1" applyAlignment="1">
      <alignment horizontal="center" vertical="center" wrapText="1"/>
    </xf>
    <xf numFmtId="178" fontId="59" fillId="0" borderId="44" xfId="0" applyNumberFormat="1" applyFont="1" applyFill="1" applyBorder="1" applyAlignment="1">
      <alignment horizontal="center" vertical="center" wrapText="1"/>
    </xf>
    <xf numFmtId="178" fontId="59" fillId="0" borderId="22" xfId="0" applyNumberFormat="1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left" vertical="center" wrapText="1" readingOrder="1"/>
    </xf>
    <xf numFmtId="9" fontId="62" fillId="0" borderId="11" xfId="0" applyNumberFormat="1" applyFont="1" applyFill="1" applyBorder="1" applyAlignment="1">
      <alignment horizontal="center" vertical="center" wrapText="1"/>
    </xf>
    <xf numFmtId="0" fontId="62" fillId="0" borderId="50" xfId="0" applyFont="1" applyBorder="1" applyAlignment="1">
      <alignment horizontal="center" vertical="top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62" fillId="0" borderId="32" xfId="0" applyFont="1" applyFill="1" applyBorder="1" applyAlignment="1">
      <alignment horizontal="left" vertical="center" wrapText="1" readingOrder="1"/>
    </xf>
    <xf numFmtId="0" fontId="62" fillId="0" borderId="39" xfId="0" applyFont="1" applyFill="1" applyBorder="1" applyAlignment="1">
      <alignment horizontal="left" vertical="center" wrapText="1" readingOrder="1"/>
    </xf>
    <xf numFmtId="0" fontId="62" fillId="0" borderId="30" xfId="0" applyFont="1" applyFill="1" applyBorder="1" applyAlignment="1">
      <alignment horizontal="left" vertical="center" wrapText="1" readingOrder="1"/>
    </xf>
    <xf numFmtId="0" fontId="62" fillId="0" borderId="11" xfId="0" applyFont="1" applyBorder="1" applyAlignment="1">
      <alignment horizontal="center" vertical="top" wrapText="1"/>
    </xf>
    <xf numFmtId="0" fontId="62" fillId="0" borderId="11" xfId="0" applyFont="1" applyFill="1" applyBorder="1" applyAlignment="1">
      <alignment vertical="top" wrapText="1"/>
    </xf>
    <xf numFmtId="0" fontId="62" fillId="0" borderId="12" xfId="0" applyFont="1" applyFill="1" applyBorder="1" applyAlignment="1">
      <alignment vertical="top" wrapText="1"/>
    </xf>
    <xf numFmtId="0" fontId="62" fillId="0" borderId="15" xfId="0" applyFont="1" applyFill="1" applyBorder="1" applyAlignment="1">
      <alignment horizontal="center" vertical="top" wrapText="1"/>
    </xf>
    <xf numFmtId="49" fontId="62" fillId="0" borderId="12" xfId="60" applyNumberFormat="1" applyFont="1" applyFill="1" applyBorder="1" applyAlignment="1">
      <alignment horizontal="center" vertical="center" wrapText="1" readingOrder="1"/>
    </xf>
    <xf numFmtId="0" fontId="0" fillId="0" borderId="16" xfId="0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center" vertical="center" wrapText="1" readingOrder="1"/>
    </xf>
    <xf numFmtId="0" fontId="62" fillId="0" borderId="29" xfId="0" applyFont="1" applyFill="1" applyBorder="1" applyAlignment="1">
      <alignment horizontal="center" vertical="center" wrapText="1"/>
    </xf>
    <xf numFmtId="178" fontId="62" fillId="0" borderId="12" xfId="0" applyNumberFormat="1" applyFont="1" applyFill="1" applyBorder="1" applyAlignment="1">
      <alignment horizontal="center" vertical="center" wrapText="1" readingOrder="1"/>
    </xf>
    <xf numFmtId="178" fontId="62" fillId="0" borderId="29" xfId="0" applyNumberFormat="1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left" vertical="top" wrapText="1" readingOrder="1"/>
    </xf>
    <xf numFmtId="0" fontId="0" fillId="0" borderId="16" xfId="0" applyFill="1" applyBorder="1" applyAlignment="1">
      <alignment horizontal="left" vertical="top" wrapText="1" readingOrder="1"/>
    </xf>
    <xf numFmtId="0" fontId="0" fillId="0" borderId="29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left" vertical="center" wrapText="1" readingOrder="1"/>
    </xf>
    <xf numFmtId="49" fontId="0" fillId="0" borderId="29" xfId="0" applyNumberFormat="1" applyFill="1" applyBorder="1" applyAlignment="1">
      <alignment horizontal="center" vertical="center" wrapText="1" readingOrder="1"/>
    </xf>
    <xf numFmtId="49" fontId="0" fillId="0" borderId="16" xfId="0" applyNumberFormat="1" applyFill="1" applyBorder="1" applyAlignment="1">
      <alignment horizontal="center" vertical="center" wrapText="1" readingOrder="1"/>
    </xf>
    <xf numFmtId="178" fontId="62" fillId="0" borderId="16" xfId="0" applyNumberFormat="1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left" vertical="center" wrapText="1" readingOrder="1"/>
    </xf>
    <xf numFmtId="178" fontId="59" fillId="0" borderId="11" xfId="0" applyNumberFormat="1" applyFont="1" applyFill="1" applyBorder="1" applyAlignment="1">
      <alignment horizontal="center" vertical="center" wrapText="1" readingOrder="1"/>
    </xf>
    <xf numFmtId="0" fontId="59" fillId="0" borderId="12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62" fillId="0" borderId="12" xfId="0" applyFont="1" applyFill="1" applyBorder="1" applyAlignment="1">
      <alignment horizontal="center" vertical="center" wrapText="1" readingOrder="1"/>
    </xf>
    <xf numFmtId="0" fontId="62" fillId="0" borderId="16" xfId="0" applyFont="1" applyFill="1" applyBorder="1" applyAlignment="1">
      <alignment horizontal="center" vertical="center" wrapText="1" readingOrder="1"/>
    </xf>
    <xf numFmtId="0" fontId="0" fillId="0" borderId="29" xfId="0" applyBorder="1" applyAlignment="1">
      <alignment horizontal="center" wrapText="1" readingOrder="1"/>
    </xf>
    <xf numFmtId="0" fontId="0" fillId="0" borderId="16" xfId="0" applyBorder="1" applyAlignment="1">
      <alignment horizontal="center" wrapText="1" readingOrder="1"/>
    </xf>
    <xf numFmtId="0" fontId="0" fillId="0" borderId="29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62" fillId="0" borderId="11" xfId="0" applyFont="1" applyBorder="1" applyAlignment="1">
      <alignment horizontal="center" vertical="top" wrapText="1" readingOrder="1"/>
    </xf>
    <xf numFmtId="0" fontId="0" fillId="0" borderId="11" xfId="0" applyBorder="1" applyAlignment="1">
      <alignment horizontal="center" vertical="top" wrapText="1" readingOrder="1"/>
    </xf>
    <xf numFmtId="0" fontId="62" fillId="0" borderId="12" xfId="0" applyFont="1" applyFill="1" applyBorder="1" applyAlignment="1">
      <alignment horizontal="left" vertical="top" wrapText="1" readingOrder="1"/>
    </xf>
    <xf numFmtId="178" fontId="62" fillId="0" borderId="11" xfId="0" applyNumberFormat="1" applyFont="1" applyFill="1" applyBorder="1" applyAlignment="1">
      <alignment horizontal="center" vertical="center" wrapText="1" readingOrder="1"/>
    </xf>
    <xf numFmtId="178" fontId="62" fillId="0" borderId="11" xfId="0" applyNumberFormat="1" applyFont="1" applyFill="1" applyBorder="1" applyAlignment="1">
      <alignment horizontal="center" vertical="center" wrapText="1"/>
    </xf>
    <xf numFmtId="49" fontId="59" fillId="0" borderId="52" xfId="0" applyNumberFormat="1" applyFont="1" applyFill="1" applyBorder="1" applyAlignment="1">
      <alignment horizontal="left" vertical="center" wrapText="1" readingOrder="1"/>
    </xf>
    <xf numFmtId="49" fontId="59" fillId="0" borderId="0" xfId="0" applyNumberFormat="1" applyFont="1" applyFill="1" applyBorder="1" applyAlignment="1">
      <alignment horizontal="left" vertical="center" wrapText="1" readingOrder="1"/>
    </xf>
    <xf numFmtId="49" fontId="59" fillId="0" borderId="39" xfId="0" applyNumberFormat="1" applyFont="1" applyFill="1" applyBorder="1" applyAlignment="1">
      <alignment horizontal="left" vertical="center" wrapText="1" readingOrder="1"/>
    </xf>
    <xf numFmtId="0" fontId="0" fillId="0" borderId="11" xfId="0" applyFill="1" applyBorder="1" applyAlignment="1">
      <alignment wrapText="1"/>
    </xf>
    <xf numFmtId="0" fontId="0" fillId="0" borderId="29" xfId="0" applyFill="1" applyBorder="1" applyAlignment="1">
      <alignment vertical="center" wrapText="1" readingOrder="1"/>
    </xf>
    <xf numFmtId="0" fontId="0" fillId="0" borderId="16" xfId="0" applyFill="1" applyBorder="1" applyAlignment="1">
      <alignment vertical="center" wrapText="1" readingOrder="1"/>
    </xf>
    <xf numFmtId="49" fontId="0" fillId="0" borderId="29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top" wrapText="1" readingOrder="1"/>
    </xf>
    <xf numFmtId="0" fontId="0" fillId="0" borderId="11" xfId="0" applyFill="1" applyBorder="1" applyAlignment="1">
      <alignment horizontal="left" vertical="top" wrapText="1" readingOrder="1"/>
    </xf>
    <xf numFmtId="0" fontId="0" fillId="0" borderId="29" xfId="0" applyFill="1" applyBorder="1" applyAlignment="1">
      <alignment horizontal="center" vertical="center" wrapText="1"/>
    </xf>
    <xf numFmtId="49" fontId="62" fillId="0" borderId="12" xfId="0" applyNumberFormat="1" applyFont="1" applyFill="1" applyBorder="1" applyAlignment="1">
      <alignment horizontal="center" vertical="center" wrapText="1"/>
    </xf>
    <xf numFmtId="49" fontId="62" fillId="0" borderId="29" xfId="0" applyNumberFormat="1" applyFont="1" applyFill="1" applyBorder="1" applyAlignment="1">
      <alignment horizontal="center" vertical="center" wrapText="1"/>
    </xf>
    <xf numFmtId="49" fontId="62" fillId="0" borderId="16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 readingOrder="1"/>
    </xf>
    <xf numFmtId="178" fontId="62" fillId="0" borderId="12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top" wrapText="1" readingOrder="1"/>
    </xf>
    <xf numFmtId="0" fontId="0" fillId="0" borderId="16" xfId="0" applyFill="1" applyBorder="1" applyAlignment="1">
      <alignment horizontal="center" vertical="top" wrapText="1" readingOrder="1"/>
    </xf>
    <xf numFmtId="0" fontId="0" fillId="0" borderId="11" xfId="0" applyFill="1" applyBorder="1" applyAlignment="1">
      <alignment horizontal="left" wrapText="1" readingOrder="1"/>
    </xf>
    <xf numFmtId="178" fontId="59" fillId="0" borderId="12" xfId="0" applyNumberFormat="1" applyFont="1" applyFill="1" applyBorder="1" applyAlignment="1">
      <alignment horizontal="center" vertical="center" wrapText="1" readingOrder="1"/>
    </xf>
    <xf numFmtId="178" fontId="59" fillId="0" borderId="29" xfId="0" applyNumberFormat="1" applyFont="1" applyFill="1" applyBorder="1" applyAlignment="1">
      <alignment horizontal="center" vertical="center" wrapText="1" readingOrder="1"/>
    </xf>
    <xf numFmtId="0" fontId="59" fillId="0" borderId="29" xfId="0" applyFont="1" applyFill="1" applyBorder="1" applyAlignment="1">
      <alignment horizontal="left" vertical="center" wrapText="1"/>
    </xf>
    <xf numFmtId="178" fontId="59" fillId="0" borderId="12" xfId="0" applyNumberFormat="1" applyFont="1" applyFill="1" applyBorder="1" applyAlignment="1">
      <alignment horizontal="center" vertical="center" wrapText="1"/>
    </xf>
    <xf numFmtId="178" fontId="59" fillId="0" borderId="29" xfId="0" applyNumberFormat="1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 readingOrder="1"/>
    </xf>
    <xf numFmtId="0" fontId="0" fillId="0" borderId="11" xfId="0" applyFill="1" applyBorder="1" applyAlignment="1">
      <alignment horizontal="left" vertical="center" wrapText="1" readingOrder="1"/>
    </xf>
    <xf numFmtId="9" fontId="62" fillId="0" borderId="11" xfId="0" applyNumberFormat="1" applyFont="1" applyFill="1" applyBorder="1" applyAlignment="1">
      <alignment horizontal="center" vertical="center" wrapText="1" readingOrder="1"/>
    </xf>
    <xf numFmtId="178" fontId="59" fillId="0" borderId="16" xfId="0" applyNumberFormat="1" applyFont="1" applyFill="1" applyBorder="1" applyAlignment="1">
      <alignment horizontal="center" vertical="center" wrapText="1" readingOrder="1"/>
    </xf>
    <xf numFmtId="0" fontId="59" fillId="0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top" wrapText="1" readingOrder="1"/>
    </xf>
    <xf numFmtId="0" fontId="0" fillId="0" borderId="16" xfId="0" applyBorder="1" applyAlignment="1">
      <alignment vertical="top" wrapText="1" readingOrder="1"/>
    </xf>
    <xf numFmtId="0" fontId="0" fillId="0" borderId="29" xfId="0" applyFill="1" applyBorder="1" applyAlignment="1">
      <alignment vertical="top" wrapText="1" readingOrder="1"/>
    </xf>
    <xf numFmtId="0" fontId="0" fillId="0" borderId="16" xfId="0" applyFill="1" applyBorder="1" applyAlignment="1">
      <alignment vertical="top" wrapText="1" readingOrder="1"/>
    </xf>
    <xf numFmtId="49" fontId="62" fillId="0" borderId="12" xfId="0" applyNumberFormat="1" applyFont="1" applyBorder="1" applyAlignment="1">
      <alignment vertical="top" wrapText="1" readingOrder="1"/>
    </xf>
    <xf numFmtId="49" fontId="62" fillId="0" borderId="12" xfId="0" applyNumberFormat="1" applyFont="1" applyFill="1" applyBorder="1" applyAlignment="1">
      <alignment vertical="top" wrapText="1" readingOrder="1"/>
    </xf>
    <xf numFmtId="0" fontId="0" fillId="0" borderId="16" xfId="0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62" fillId="0" borderId="29" xfId="0" applyFont="1" applyFill="1" applyBorder="1" applyAlignment="1">
      <alignment horizontal="center" vertical="center" wrapText="1" readingOrder="1"/>
    </xf>
    <xf numFmtId="0" fontId="62" fillId="0" borderId="12" xfId="0" applyFont="1" applyFill="1" applyBorder="1" applyAlignment="1">
      <alignment horizontal="left" vertical="center" wrapText="1" readingOrder="1"/>
    </xf>
    <xf numFmtId="49" fontId="62" fillId="0" borderId="11" xfId="0" applyNumberFormat="1" applyFont="1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center" wrapText="1" readingOrder="1"/>
    </xf>
    <xf numFmtId="178" fontId="59" fillId="0" borderId="12" xfId="0" applyNumberFormat="1" applyFont="1" applyBorder="1" applyAlignment="1">
      <alignment horizontal="center" vertical="center" wrapText="1" readingOrder="1"/>
    </xf>
    <xf numFmtId="178" fontId="59" fillId="0" borderId="29" xfId="0" applyNumberFormat="1" applyFont="1" applyBorder="1" applyAlignment="1">
      <alignment horizontal="center" vertical="center" wrapText="1" readingOrder="1"/>
    </xf>
    <xf numFmtId="178" fontId="59" fillId="0" borderId="16" xfId="0" applyNumberFormat="1" applyFont="1" applyBorder="1" applyAlignment="1">
      <alignment horizontal="center" vertical="center" wrapText="1" readingOrder="1"/>
    </xf>
    <xf numFmtId="49" fontId="62" fillId="0" borderId="11" xfId="0" applyNumberFormat="1" applyFont="1" applyBorder="1" applyAlignment="1">
      <alignment horizontal="left" vertical="center" wrapText="1" readingOrder="1"/>
    </xf>
    <xf numFmtId="0" fontId="0" fillId="0" borderId="11" xfId="0" applyBorder="1" applyAlignment="1">
      <alignment horizontal="left" vertical="center" wrapText="1" readingOrder="1"/>
    </xf>
    <xf numFmtId="49" fontId="62" fillId="0" borderId="12" xfId="0" applyNumberFormat="1" applyFont="1" applyBorder="1" applyAlignment="1">
      <alignment horizontal="left" vertical="top" wrapText="1" readingOrder="1"/>
    </xf>
    <xf numFmtId="49" fontId="62" fillId="0" borderId="29" xfId="0" applyNumberFormat="1" applyFont="1" applyBorder="1" applyAlignment="1">
      <alignment horizontal="left" vertical="top" wrapText="1" readingOrder="1"/>
    </xf>
    <xf numFmtId="0" fontId="0" fillId="0" borderId="29" xfId="0" applyBorder="1" applyAlignment="1">
      <alignment horizontal="left" vertical="top" wrapText="1" readingOrder="1"/>
    </xf>
    <xf numFmtId="0" fontId="0" fillId="0" borderId="16" xfId="0" applyBorder="1" applyAlignment="1">
      <alignment horizontal="left" vertical="top" wrapText="1" readingOrder="1"/>
    </xf>
    <xf numFmtId="0" fontId="62" fillId="0" borderId="12" xfId="0" applyFont="1" applyBorder="1" applyAlignment="1">
      <alignment horizontal="center" vertical="top" wrapText="1"/>
    </xf>
    <xf numFmtId="0" fontId="62" fillId="0" borderId="29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center" wrapText="1" readingOrder="1"/>
    </xf>
    <xf numFmtId="49" fontId="59" fillId="0" borderId="50" xfId="0" applyNumberFormat="1" applyFont="1" applyBorder="1" applyAlignment="1">
      <alignment horizontal="left" vertical="center" wrapText="1" readingOrder="1"/>
    </xf>
    <xf numFmtId="49" fontId="59" fillId="0" borderId="54" xfId="0" applyNumberFormat="1" applyFont="1" applyBorder="1" applyAlignment="1">
      <alignment horizontal="left" vertical="center" wrapText="1" readingOrder="1"/>
    </xf>
    <xf numFmtId="49" fontId="59" fillId="0" borderId="53" xfId="0" applyNumberFormat="1" applyFont="1" applyBorder="1" applyAlignment="1">
      <alignment horizontal="left" vertical="center" wrapText="1" readingOrder="1"/>
    </xf>
    <xf numFmtId="49" fontId="59" fillId="0" borderId="33" xfId="0" applyNumberFormat="1" applyFont="1" applyBorder="1" applyAlignment="1">
      <alignment horizontal="left" vertical="center" wrapText="1" readingOrder="1"/>
    </xf>
    <xf numFmtId="178" fontId="59" fillId="0" borderId="43" xfId="0" applyNumberFormat="1" applyFont="1" applyBorder="1" applyAlignment="1">
      <alignment horizontal="center" vertical="center" wrapText="1"/>
    </xf>
    <xf numFmtId="178" fontId="59" fillId="0" borderId="11" xfId="0" applyNumberFormat="1" applyFont="1" applyBorder="1" applyAlignment="1">
      <alignment horizontal="center" vertical="center" wrapText="1"/>
    </xf>
    <xf numFmtId="178" fontId="59" fillId="0" borderId="44" xfId="0" applyNumberFormat="1" applyFont="1" applyBorder="1" applyAlignment="1">
      <alignment horizontal="center" vertical="center" wrapText="1"/>
    </xf>
    <xf numFmtId="178" fontId="59" fillId="0" borderId="22" xfId="0" applyNumberFormat="1" applyFont="1" applyBorder="1" applyAlignment="1">
      <alignment horizontal="center" vertical="center" wrapText="1"/>
    </xf>
    <xf numFmtId="0" fontId="62" fillId="0" borderId="46" xfId="0" applyFont="1" applyBorder="1" applyAlignment="1">
      <alignment horizontal="left" vertical="center" wrapText="1" readingOrder="1"/>
    </xf>
    <xf numFmtId="0" fontId="62" fillId="0" borderId="0" xfId="0" applyFont="1" applyBorder="1" applyAlignment="1">
      <alignment horizontal="left" vertical="center" wrapText="1" readingOrder="1"/>
    </xf>
    <xf numFmtId="0" fontId="0" fillId="0" borderId="53" xfId="0" applyBorder="1" applyAlignment="1">
      <alignment horizontal="left" vertical="center" wrapText="1" readingOrder="1"/>
    </xf>
    <xf numFmtId="0" fontId="0" fillId="0" borderId="11" xfId="0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50" xfId="0" applyBorder="1" applyAlignment="1">
      <alignment horizontal="center" vertical="top" wrapText="1"/>
    </xf>
    <xf numFmtId="0" fontId="59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 readingOrder="1"/>
    </xf>
    <xf numFmtId="49" fontId="62" fillId="0" borderId="16" xfId="0" applyNumberFormat="1" applyFont="1" applyBorder="1" applyAlignment="1">
      <alignment horizontal="center" vertical="top" wrapText="1" readingOrder="1"/>
    </xf>
    <xf numFmtId="178" fontId="62" fillId="33" borderId="12" xfId="0" applyNumberFormat="1" applyFont="1" applyFill="1" applyBorder="1" applyAlignment="1">
      <alignment horizontal="center" vertical="center" wrapText="1"/>
    </xf>
    <xf numFmtId="178" fontId="62" fillId="33" borderId="16" xfId="0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 readingOrder="1"/>
    </xf>
    <xf numFmtId="178" fontId="62" fillId="33" borderId="16" xfId="0" applyNumberFormat="1" applyFont="1" applyFill="1" applyBorder="1" applyAlignment="1">
      <alignment horizontal="center" vertical="center" wrapText="1" readingOrder="1"/>
    </xf>
    <xf numFmtId="178" fontId="59" fillId="33" borderId="12" xfId="0" applyNumberFormat="1" applyFont="1" applyFill="1" applyBorder="1" applyAlignment="1">
      <alignment horizontal="center" vertical="center" wrapText="1" readingOrder="1"/>
    </xf>
    <xf numFmtId="178" fontId="59" fillId="33" borderId="29" xfId="0" applyNumberFormat="1" applyFont="1" applyFill="1" applyBorder="1" applyAlignment="1">
      <alignment horizontal="center" vertical="center" wrapText="1" readingOrder="1"/>
    </xf>
    <xf numFmtId="178" fontId="59" fillId="33" borderId="16" xfId="0" applyNumberFormat="1" applyFont="1" applyFill="1" applyBorder="1" applyAlignment="1">
      <alignment horizontal="center" vertical="center" wrapText="1" readingOrder="1"/>
    </xf>
    <xf numFmtId="0" fontId="0" fillId="0" borderId="16" xfId="0" applyBorder="1" applyAlignment="1">
      <alignment/>
    </xf>
    <xf numFmtId="0" fontId="62" fillId="0" borderId="12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2" fillId="0" borderId="12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2" fillId="0" borderId="1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left" vertical="center" wrapText="1" readingOrder="1"/>
    </xf>
    <xf numFmtId="49" fontId="62" fillId="0" borderId="12" xfId="0" applyNumberFormat="1" applyFont="1" applyBorder="1" applyAlignment="1">
      <alignment horizontal="center" vertical="center" wrapText="1" readingOrder="1"/>
    </xf>
    <xf numFmtId="49" fontId="62" fillId="0" borderId="16" xfId="0" applyNumberFormat="1" applyFont="1" applyBorder="1" applyAlignment="1">
      <alignment horizontal="center" vertical="center" wrapText="1" readingOrder="1"/>
    </xf>
    <xf numFmtId="178" fontId="62" fillId="0" borderId="12" xfId="0" applyNumberFormat="1" applyFont="1" applyBorder="1" applyAlignment="1">
      <alignment horizontal="center" vertical="center" wrapText="1"/>
    </xf>
    <xf numFmtId="178" fontId="62" fillId="0" borderId="16" xfId="0" applyNumberFormat="1" applyFont="1" applyBorder="1" applyAlignment="1">
      <alignment horizontal="center" vertical="center" wrapText="1"/>
    </xf>
    <xf numFmtId="9" fontId="62" fillId="0" borderId="11" xfId="0" applyNumberFormat="1" applyFont="1" applyBorder="1" applyAlignment="1">
      <alignment horizontal="center" vertical="center" wrapText="1" readingOrder="1"/>
    </xf>
    <xf numFmtId="178" fontId="62" fillId="0" borderId="29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 readingOrder="1"/>
    </xf>
    <xf numFmtId="0" fontId="62" fillId="0" borderId="29" xfId="0" applyFont="1" applyBorder="1" applyAlignment="1">
      <alignment horizontal="center" vertical="center" wrapText="1"/>
    </xf>
    <xf numFmtId="178" fontId="62" fillId="0" borderId="29" xfId="0" applyNumberFormat="1" applyFont="1" applyBorder="1" applyAlignment="1">
      <alignment horizontal="center" vertical="center" wrapText="1" readingOrder="1"/>
    </xf>
    <xf numFmtId="178" fontId="62" fillId="33" borderId="29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 readingOrder="1"/>
    </xf>
    <xf numFmtId="0" fontId="0" fillId="0" borderId="16" xfId="0" applyBorder="1" applyAlignment="1">
      <alignment horizontal="left" vertical="center" wrapText="1" readingOrder="1"/>
    </xf>
    <xf numFmtId="0" fontId="0" fillId="0" borderId="29" xfId="0" applyBorder="1" applyAlignment="1">
      <alignment horizontal="left" wrapText="1" readingOrder="1"/>
    </xf>
    <xf numFmtId="0" fontId="0" fillId="0" borderId="16" xfId="0" applyBorder="1" applyAlignment="1">
      <alignment horizontal="left" wrapText="1" readingOrder="1"/>
    </xf>
    <xf numFmtId="0" fontId="0" fillId="0" borderId="29" xfId="0" applyBorder="1" applyAlignment="1">
      <alignment wrapText="1"/>
    </xf>
    <xf numFmtId="0" fontId="0" fillId="0" borderId="16" xfId="0" applyBorder="1" applyAlignment="1">
      <alignment wrapText="1"/>
    </xf>
    <xf numFmtId="0" fontId="62" fillId="0" borderId="12" xfId="0" applyFont="1" applyBorder="1" applyAlignment="1">
      <alignment horizontal="left" vertical="center" wrapText="1" readingOrder="1"/>
    </xf>
    <xf numFmtId="0" fontId="62" fillId="0" borderId="29" xfId="0" applyFont="1" applyBorder="1" applyAlignment="1">
      <alignment horizontal="left" vertical="center" wrapText="1" readingOrder="1"/>
    </xf>
    <xf numFmtId="0" fontId="62" fillId="0" borderId="16" xfId="0" applyFont="1" applyBorder="1" applyAlignment="1">
      <alignment horizontal="left" vertical="center" wrapText="1" readingOrder="1"/>
    </xf>
    <xf numFmtId="0" fontId="59" fillId="0" borderId="12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 readingOrder="1"/>
    </xf>
    <xf numFmtId="0" fontId="62" fillId="0" borderId="16" xfId="0" applyFont="1" applyBorder="1" applyAlignment="1">
      <alignment horizontal="center" vertical="center" wrapText="1" readingOrder="1"/>
    </xf>
    <xf numFmtId="178" fontId="62" fillId="0" borderId="11" xfId="0" applyNumberFormat="1" applyFont="1" applyBorder="1" applyAlignment="1">
      <alignment horizontal="center" vertical="center" wrapText="1"/>
    </xf>
    <xf numFmtId="49" fontId="62" fillId="0" borderId="32" xfId="0" applyNumberFormat="1" applyFont="1" applyBorder="1" applyAlignment="1">
      <alignment horizontal="center" vertical="top" wrapText="1" readingOrder="1"/>
    </xf>
    <xf numFmtId="49" fontId="62" fillId="0" borderId="30" xfId="0" applyNumberFormat="1" applyFont="1" applyBorder="1" applyAlignment="1">
      <alignment horizontal="center" vertical="top" wrapText="1" readingOrder="1"/>
    </xf>
    <xf numFmtId="49" fontId="62" fillId="0" borderId="11" xfId="0" applyNumberFormat="1" applyFont="1" applyBorder="1" applyAlignment="1">
      <alignment horizontal="left" vertical="top" wrapText="1" readingOrder="1"/>
    </xf>
    <xf numFmtId="0" fontId="0" fillId="0" borderId="11" xfId="0" applyBorder="1" applyAlignment="1">
      <alignment horizontal="left" wrapText="1" readingOrder="1"/>
    </xf>
    <xf numFmtId="0" fontId="0" fillId="0" borderId="11" xfId="0" applyBorder="1" applyAlignment="1">
      <alignment wrapText="1"/>
    </xf>
    <xf numFmtId="0" fontId="62" fillId="0" borderId="32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left" vertical="center" wrapText="1" readingOrder="1"/>
    </xf>
    <xf numFmtId="0" fontId="0" fillId="0" borderId="29" xfId="0" applyBorder="1" applyAlignment="1">
      <alignment horizontal="center" vertical="center" wrapText="1" readingOrder="1"/>
    </xf>
    <xf numFmtId="0" fontId="0" fillId="0" borderId="16" xfId="0" applyBorder="1" applyAlignment="1">
      <alignment horizontal="center" vertical="center" wrapText="1" readingOrder="1"/>
    </xf>
    <xf numFmtId="0" fontId="0" fillId="0" borderId="29" xfId="0" applyBorder="1" applyAlignment="1">
      <alignment wrapText="1" readingOrder="1"/>
    </xf>
    <xf numFmtId="0" fontId="0" fillId="0" borderId="16" xfId="0" applyBorder="1" applyAlignment="1">
      <alignment wrapText="1" readingOrder="1"/>
    </xf>
    <xf numFmtId="49" fontId="59" fillId="0" borderId="31" xfId="0" applyNumberFormat="1" applyFont="1" applyBorder="1" applyAlignment="1">
      <alignment horizontal="left" vertical="center" wrapText="1" readingOrder="1"/>
    </xf>
    <xf numFmtId="49" fontId="59" fillId="0" borderId="30" xfId="0" applyNumberFormat="1" applyFont="1" applyBorder="1" applyAlignment="1">
      <alignment horizontal="left" vertical="center" wrapText="1" readingOrder="1"/>
    </xf>
    <xf numFmtId="0" fontId="0" fillId="0" borderId="29" xfId="0" applyBorder="1" applyAlignment="1">
      <alignment vertical="center" wrapText="1" readingOrder="1"/>
    </xf>
    <xf numFmtId="0" fontId="0" fillId="0" borderId="16" xfId="0" applyBorder="1" applyAlignment="1">
      <alignment vertical="center" wrapText="1" readingOrder="1"/>
    </xf>
    <xf numFmtId="0" fontId="62" fillId="0" borderId="16" xfId="0" applyFont="1" applyBorder="1" applyAlignment="1">
      <alignment horizontal="center" vertical="center" wrapText="1"/>
    </xf>
    <xf numFmtId="178" fontId="62" fillId="34" borderId="12" xfId="0" applyNumberFormat="1" applyFont="1" applyFill="1" applyBorder="1" applyAlignment="1">
      <alignment horizontal="center" vertical="center" wrapText="1" readingOrder="1"/>
    </xf>
    <xf numFmtId="178" fontId="62" fillId="34" borderId="16" xfId="0" applyNumberFormat="1" applyFont="1" applyFill="1" applyBorder="1" applyAlignment="1">
      <alignment horizontal="center" vertical="center" wrapText="1" readingOrder="1"/>
    </xf>
    <xf numFmtId="0" fontId="62" fillId="0" borderId="12" xfId="0" applyFont="1" applyBorder="1" applyAlignment="1">
      <alignment horizontal="center" vertical="top" wrapText="1" readingOrder="1"/>
    </xf>
    <xf numFmtId="0" fontId="0" fillId="0" borderId="33" xfId="0" applyBorder="1" applyAlignment="1">
      <alignment horizontal="left" vertical="center" wrapText="1" readingOrder="1"/>
    </xf>
    <xf numFmtId="49" fontId="62" fillId="0" borderId="11" xfId="0" applyNumberFormat="1" applyFont="1" applyBorder="1" applyAlignment="1">
      <alignment horizontal="center" vertical="top" wrapText="1"/>
    </xf>
    <xf numFmtId="0" fontId="62" fillId="0" borderId="50" xfId="0" applyFont="1" applyBorder="1" applyAlignment="1">
      <alignment horizontal="left" vertical="center" wrapText="1" readingOrder="1"/>
    </xf>
    <xf numFmtId="0" fontId="0" fillId="0" borderId="50" xfId="0" applyBorder="1" applyAlignment="1">
      <alignment horizontal="left" vertical="center" wrapText="1" readingOrder="1"/>
    </xf>
    <xf numFmtId="0" fontId="46" fillId="0" borderId="18" xfId="0" applyFont="1" applyBorder="1" applyAlignment="1">
      <alignment horizontal="left" vertical="center" wrapText="1"/>
    </xf>
    <xf numFmtId="178" fontId="62" fillId="0" borderId="11" xfId="0" applyNumberFormat="1" applyFont="1" applyBorder="1" applyAlignment="1">
      <alignment horizontal="center" vertical="center" wrapText="1" readingOrder="1"/>
    </xf>
    <xf numFmtId="1" fontId="62" fillId="0" borderId="12" xfId="0" applyNumberFormat="1" applyFont="1" applyBorder="1" applyAlignment="1">
      <alignment horizontal="center" vertical="center" wrapText="1" readingOrder="1"/>
    </xf>
    <xf numFmtId="0" fontId="62" fillId="0" borderId="46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49" fontId="59" fillId="0" borderId="39" xfId="0" applyNumberFormat="1" applyFont="1" applyBorder="1" applyAlignment="1">
      <alignment horizontal="left" vertical="top" wrapText="1"/>
    </xf>
    <xf numFmtId="49" fontId="59" fillId="0" borderId="29" xfId="0" applyNumberFormat="1" applyFont="1" applyBorder="1" applyAlignment="1">
      <alignment horizontal="left" vertical="top" wrapText="1"/>
    </xf>
    <xf numFmtId="49" fontId="59" fillId="0" borderId="11" xfId="0" applyNumberFormat="1" applyFont="1" applyBorder="1" applyAlignment="1">
      <alignment horizontal="left" vertical="top" wrapText="1"/>
    </xf>
    <xf numFmtId="0" fontId="62" fillId="0" borderId="16" xfId="0" applyFont="1" applyBorder="1" applyAlignment="1">
      <alignment horizontal="center" vertical="top" wrapText="1"/>
    </xf>
    <xf numFmtId="0" fontId="62" fillId="0" borderId="12" xfId="0" applyFont="1" applyBorder="1" applyAlignment="1">
      <alignment vertical="center" wrapText="1"/>
    </xf>
    <xf numFmtId="0" fontId="62" fillId="0" borderId="29" xfId="0" applyFont="1" applyBorder="1" applyAlignment="1">
      <alignment vertical="center" wrapText="1"/>
    </xf>
    <xf numFmtId="0" fontId="62" fillId="0" borderId="16" xfId="0" applyFont="1" applyBorder="1" applyAlignment="1">
      <alignment vertical="center" wrapText="1"/>
    </xf>
    <xf numFmtId="49" fontId="62" fillId="0" borderId="12" xfId="0" applyNumberFormat="1" applyFont="1" applyBorder="1" applyAlignment="1">
      <alignment horizontal="center" vertical="top" wrapText="1"/>
    </xf>
    <xf numFmtId="0" fontId="62" fillId="0" borderId="29" xfId="0" applyFont="1" applyBorder="1" applyAlignment="1">
      <alignment vertical="top" wrapText="1"/>
    </xf>
    <xf numFmtId="0" fontId="62" fillId="0" borderId="16" xfId="0" applyFont="1" applyBorder="1" applyAlignment="1">
      <alignment vertical="top" wrapText="1"/>
    </xf>
    <xf numFmtId="0" fontId="62" fillId="0" borderId="52" xfId="0" applyFont="1" applyBorder="1" applyAlignment="1">
      <alignment horizontal="center" vertical="top" wrapText="1"/>
    </xf>
    <xf numFmtId="0" fontId="62" fillId="0" borderId="32" xfId="0" applyFont="1" applyBorder="1" applyAlignment="1">
      <alignment horizontal="left" vertical="top" wrapText="1"/>
    </xf>
    <xf numFmtId="0" fontId="62" fillId="0" borderId="39" xfId="0" applyFont="1" applyBorder="1" applyAlignment="1">
      <alignment wrapText="1"/>
    </xf>
    <xf numFmtId="0" fontId="62" fillId="0" borderId="30" xfId="0" applyFont="1" applyBorder="1" applyAlignment="1">
      <alignment wrapText="1"/>
    </xf>
    <xf numFmtId="2" fontId="62" fillId="0" borderId="29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/>
    </xf>
    <xf numFmtId="0" fontId="62" fillId="0" borderId="29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2" fontId="62" fillId="0" borderId="39" xfId="0" applyNumberFormat="1" applyFont="1" applyBorder="1" applyAlignment="1">
      <alignment horizontal="center" vertical="center" wrapText="1"/>
    </xf>
    <xf numFmtId="49" fontId="62" fillId="0" borderId="29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top" wrapText="1"/>
    </xf>
    <xf numFmtId="0" fontId="62" fillId="0" borderId="12" xfId="0" applyFont="1" applyBorder="1" applyAlignment="1">
      <alignment horizontal="left" vertical="top" wrapText="1"/>
    </xf>
    <xf numFmtId="0" fontId="62" fillId="0" borderId="29" xfId="0" applyFont="1" applyBorder="1" applyAlignment="1">
      <alignment horizontal="left" vertical="top" wrapText="1"/>
    </xf>
    <xf numFmtId="0" fontId="62" fillId="0" borderId="16" xfId="0" applyFont="1" applyBorder="1" applyAlignment="1">
      <alignment horizontal="left" vertical="top" wrapText="1"/>
    </xf>
    <xf numFmtId="0" fontId="59" fillId="0" borderId="16" xfId="0" applyFont="1" applyBorder="1" applyAlignment="1">
      <alignment vertical="top" wrapText="1"/>
    </xf>
    <xf numFmtId="0" fontId="62" fillId="0" borderId="31" xfId="0" applyFont="1" applyBorder="1" applyAlignment="1">
      <alignment horizontal="center" vertical="top" wrapText="1"/>
    </xf>
    <xf numFmtId="0" fontId="62" fillId="0" borderId="50" xfId="0" applyFont="1" applyBorder="1" applyAlignment="1">
      <alignment/>
    </xf>
    <xf numFmtId="0" fontId="62" fillId="0" borderId="33" xfId="0" applyFont="1" applyBorder="1" applyAlignment="1">
      <alignment horizontal="center" vertical="top" wrapText="1"/>
    </xf>
    <xf numFmtId="0" fontId="62" fillId="0" borderId="33" xfId="0" applyFont="1" applyBorder="1" applyAlignment="1">
      <alignment/>
    </xf>
    <xf numFmtId="0" fontId="62" fillId="0" borderId="29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15" xfId="0" applyFont="1" applyBorder="1" applyAlignment="1">
      <alignment horizontal="center" vertical="top" wrapText="1"/>
    </xf>
    <xf numFmtId="0" fontId="62" fillId="0" borderId="52" xfId="0" applyFont="1" applyBorder="1" applyAlignment="1">
      <alignment vertical="top" wrapText="1"/>
    </xf>
    <xf numFmtId="0" fontId="62" fillId="0" borderId="31" xfId="0" applyFont="1" applyBorder="1" applyAlignment="1">
      <alignment vertical="top" wrapText="1"/>
    </xf>
    <xf numFmtId="178" fontId="62" fillId="0" borderId="39" xfId="0" applyNumberFormat="1" applyFont="1" applyBorder="1" applyAlignment="1">
      <alignment horizontal="center" vertical="center" wrapText="1"/>
    </xf>
    <xf numFmtId="0" fontId="62" fillId="0" borderId="30" xfId="0" applyFont="1" applyBorder="1" applyAlignment="1">
      <alignment horizontal="left" vertical="top" wrapText="1"/>
    </xf>
    <xf numFmtId="49" fontId="62" fillId="0" borderId="12" xfId="0" applyNumberFormat="1" applyFont="1" applyBorder="1" applyAlignment="1">
      <alignment horizontal="left" vertical="top" wrapText="1"/>
    </xf>
    <xf numFmtId="49" fontId="62" fillId="0" borderId="29" xfId="0" applyNumberFormat="1" applyFont="1" applyBorder="1" applyAlignment="1">
      <alignment horizontal="left" vertical="top" wrapText="1"/>
    </xf>
    <xf numFmtId="49" fontId="62" fillId="0" borderId="16" xfId="0" applyNumberFormat="1" applyFont="1" applyBorder="1" applyAlignment="1">
      <alignment horizontal="left" vertical="top" wrapText="1"/>
    </xf>
    <xf numFmtId="49" fontId="59" fillId="0" borderId="12" xfId="0" applyNumberFormat="1" applyFont="1" applyBorder="1" applyAlignment="1">
      <alignment horizontal="left" vertical="top" wrapText="1"/>
    </xf>
    <xf numFmtId="49" fontId="59" fillId="0" borderId="50" xfId="0" applyNumberFormat="1" applyFont="1" applyBorder="1" applyAlignment="1">
      <alignment vertical="top" wrapText="1"/>
    </xf>
    <xf numFmtId="49" fontId="59" fillId="0" borderId="54" xfId="0" applyNumberFormat="1" applyFont="1" applyBorder="1" applyAlignment="1">
      <alignment vertical="top" wrapText="1"/>
    </xf>
    <xf numFmtId="49" fontId="59" fillId="0" borderId="46" xfId="0" applyNumberFormat="1" applyFont="1" applyBorder="1" applyAlignment="1">
      <alignment vertical="top" wrapText="1"/>
    </xf>
    <xf numFmtId="49" fontId="59" fillId="0" borderId="33" xfId="0" applyNumberFormat="1" applyFont="1" applyBorder="1" applyAlignment="1">
      <alignment vertical="top" wrapText="1"/>
    </xf>
    <xf numFmtId="49" fontId="59" fillId="0" borderId="16" xfId="0" applyNumberFormat="1" applyFont="1" applyBorder="1" applyAlignment="1">
      <alignment horizontal="left" vertical="top" wrapText="1"/>
    </xf>
    <xf numFmtId="0" fontId="59" fillId="0" borderId="15" xfId="0" applyFont="1" applyBorder="1" applyAlignment="1">
      <alignment horizontal="center" vertical="top" wrapText="1"/>
    </xf>
    <xf numFmtId="0" fontId="59" fillId="0" borderId="31" xfId="0" applyFont="1" applyBorder="1" applyAlignment="1">
      <alignment horizontal="center" vertical="top" wrapText="1"/>
    </xf>
    <xf numFmtId="1" fontId="62" fillId="0" borderId="12" xfId="0" applyNumberFormat="1" applyFont="1" applyBorder="1" applyAlignment="1">
      <alignment horizontal="center" vertical="top" wrapText="1" readingOrder="1"/>
    </xf>
    <xf numFmtId="1" fontId="62" fillId="0" borderId="29" xfId="0" applyNumberFormat="1" applyFont="1" applyBorder="1" applyAlignment="1">
      <alignment horizontal="center" vertical="top" wrapText="1" readingOrder="1"/>
    </xf>
    <xf numFmtId="1" fontId="62" fillId="0" borderId="16" xfId="0" applyNumberFormat="1" applyFont="1" applyBorder="1" applyAlignment="1">
      <alignment horizontal="center" vertical="top" wrapText="1" readingOrder="1"/>
    </xf>
    <xf numFmtId="0" fontId="59" fillId="0" borderId="52" xfId="33" applyNumberFormat="1" applyFont="1" applyBorder="1" applyAlignment="1" applyProtection="1">
      <alignment horizontal="center" vertical="center" wrapText="1"/>
      <protection locked="0"/>
    </xf>
    <xf numFmtId="0" fontId="59" fillId="0" borderId="52" xfId="33" applyFont="1" applyBorder="1" applyAlignment="1">
      <alignment horizontal="center" vertical="center" wrapText="1"/>
      <protection/>
    </xf>
    <xf numFmtId="49" fontId="62" fillId="0" borderId="12" xfId="0" applyNumberFormat="1" applyFont="1" applyBorder="1" applyAlignment="1">
      <alignment vertical="top" wrapText="1"/>
    </xf>
    <xf numFmtId="0" fontId="0" fillId="0" borderId="2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71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/>
    </xf>
    <xf numFmtId="0" fontId="62" fillId="0" borderId="12" xfId="0" applyFont="1" applyBorder="1" applyAlignment="1">
      <alignment horizontal="center" wrapText="1"/>
    </xf>
    <xf numFmtId="178" fontId="62" fillId="0" borderId="11" xfId="0" applyNumberFormat="1" applyFont="1" applyBorder="1" applyAlignment="1">
      <alignment horizontal="center" vertical="top" wrapText="1"/>
    </xf>
    <xf numFmtId="0" fontId="0" fillId="0" borderId="2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62" fillId="0" borderId="51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wrapText="1"/>
    </xf>
    <xf numFmtId="0" fontId="62" fillId="0" borderId="0" xfId="0" applyFont="1" applyFill="1" applyBorder="1" applyAlignment="1">
      <alignment horizontal="right" vertical="top" wrapText="1" readingOrder="1"/>
    </xf>
    <xf numFmtId="0" fontId="70" fillId="0" borderId="0" xfId="0" applyFont="1" applyFill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center" vertical="top" wrapText="1"/>
    </xf>
    <xf numFmtId="0" fontId="59" fillId="0" borderId="16" xfId="0" applyFont="1" applyFill="1" applyBorder="1" applyAlignment="1">
      <alignment horizontal="center" vertical="top" wrapText="1"/>
    </xf>
    <xf numFmtId="0" fontId="59" fillId="0" borderId="50" xfId="0" applyFont="1" applyFill="1" applyBorder="1" applyAlignment="1">
      <alignment horizontal="center" vertical="top" wrapText="1"/>
    </xf>
    <xf numFmtId="0" fontId="59" fillId="0" borderId="54" xfId="0" applyFont="1" applyFill="1" applyBorder="1" applyAlignment="1">
      <alignment horizontal="center" vertical="top" wrapText="1"/>
    </xf>
    <xf numFmtId="0" fontId="59" fillId="0" borderId="33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left" vertical="top" wrapText="1" readingOrder="1"/>
    </xf>
    <xf numFmtId="0" fontId="0" fillId="0" borderId="11" xfId="0" applyFill="1" applyBorder="1" applyAlignment="1">
      <alignment vertical="top" wrapText="1"/>
    </xf>
    <xf numFmtId="0" fontId="62" fillId="0" borderId="11" xfId="0" applyFont="1" applyFill="1" applyBorder="1" applyAlignment="1">
      <alignment horizontal="center" vertical="top" wrapText="1" readingOrder="1"/>
    </xf>
    <xf numFmtId="0" fontId="0" fillId="0" borderId="11" xfId="0" applyFill="1" applyBorder="1" applyAlignment="1">
      <alignment horizontal="center" vertical="top" wrapText="1" readingOrder="1"/>
    </xf>
    <xf numFmtId="0" fontId="62" fillId="0" borderId="16" xfId="0" applyFont="1" applyFill="1" applyBorder="1" applyAlignment="1">
      <alignment horizontal="left" vertical="top" wrapText="1" readingOrder="1"/>
    </xf>
    <xf numFmtId="178" fontId="59" fillId="0" borderId="40" xfId="0" applyNumberFormat="1" applyFont="1" applyFill="1" applyBorder="1" applyAlignment="1">
      <alignment horizontal="center" vertical="top" wrapText="1"/>
    </xf>
    <xf numFmtId="178" fontId="59" fillId="0" borderId="16" xfId="0" applyNumberFormat="1" applyFont="1" applyFill="1" applyBorder="1" applyAlignment="1">
      <alignment horizontal="center" vertical="top" wrapText="1"/>
    </xf>
    <xf numFmtId="178" fontId="59" fillId="0" borderId="42" xfId="0" applyNumberFormat="1" applyFont="1" applyFill="1" applyBorder="1" applyAlignment="1">
      <alignment horizontal="center" vertical="top" wrapText="1"/>
    </xf>
    <xf numFmtId="178" fontId="59" fillId="0" borderId="59" xfId="0" applyNumberFormat="1" applyFont="1" applyFill="1" applyBorder="1" applyAlignment="1">
      <alignment horizontal="center" vertical="top" wrapText="1"/>
    </xf>
    <xf numFmtId="0" fontId="62" fillId="0" borderId="33" xfId="0" applyFont="1" applyFill="1" applyBorder="1" applyAlignment="1">
      <alignment horizontal="center" vertical="top" wrapText="1"/>
    </xf>
    <xf numFmtId="0" fontId="59" fillId="0" borderId="50" xfId="0" applyFont="1" applyFill="1" applyBorder="1" applyAlignment="1">
      <alignment horizontal="left" vertical="top" wrapText="1" readingOrder="1"/>
    </xf>
    <xf numFmtId="0" fontId="59" fillId="0" borderId="54" xfId="0" applyFont="1" applyFill="1" applyBorder="1" applyAlignment="1">
      <alignment horizontal="left" vertical="top" wrapText="1" readingOrder="1"/>
    </xf>
    <xf numFmtId="0" fontId="59" fillId="0" borderId="53" xfId="0" applyFont="1" applyFill="1" applyBorder="1" applyAlignment="1">
      <alignment horizontal="left" vertical="top" wrapText="1" readingOrder="1"/>
    </xf>
    <xf numFmtId="0" fontId="59" fillId="0" borderId="33" xfId="0" applyFont="1" applyFill="1" applyBorder="1" applyAlignment="1">
      <alignment horizontal="left" vertical="top" wrapText="1" readingOrder="1"/>
    </xf>
    <xf numFmtId="0" fontId="62" fillId="0" borderId="15" xfId="0" applyFont="1" applyFill="1" applyBorder="1" applyAlignment="1">
      <alignment horizontal="left" vertical="top" wrapText="1" readingOrder="1"/>
    </xf>
    <xf numFmtId="0" fontId="0" fillId="0" borderId="52" xfId="0" applyFill="1" applyBorder="1" applyAlignment="1">
      <alignment horizontal="left" vertical="top" wrapText="1" readingOrder="1"/>
    </xf>
    <xf numFmtId="0" fontId="0" fillId="0" borderId="31" xfId="0" applyFill="1" applyBorder="1" applyAlignment="1">
      <alignment horizontal="left" vertical="top" wrapText="1" readingOrder="1"/>
    </xf>
    <xf numFmtId="0" fontId="0" fillId="0" borderId="11" xfId="0" applyFill="1" applyBorder="1" applyAlignment="1">
      <alignment vertical="top" wrapText="1" readingOrder="1"/>
    </xf>
    <xf numFmtId="49" fontId="0" fillId="0" borderId="29" xfId="0" applyNumberFormat="1" applyFill="1" applyBorder="1" applyAlignment="1">
      <alignment horizontal="center" vertical="top" wrapText="1" readingOrder="1"/>
    </xf>
    <xf numFmtId="49" fontId="0" fillId="0" borderId="16" xfId="0" applyNumberFormat="1" applyFill="1" applyBorder="1" applyAlignment="1">
      <alignment horizontal="center" vertical="top" wrapText="1" readingOrder="1"/>
    </xf>
    <xf numFmtId="0" fontId="0" fillId="0" borderId="29" xfId="0" applyFont="1" applyFill="1" applyBorder="1" applyAlignment="1">
      <alignment horizontal="left" vertical="top" wrapText="1" readingOrder="1"/>
    </xf>
    <xf numFmtId="0" fontId="0" fillId="0" borderId="16" xfId="0" applyFont="1" applyFill="1" applyBorder="1" applyAlignment="1">
      <alignment horizontal="left" vertical="top" wrapText="1" readingOrder="1"/>
    </xf>
    <xf numFmtId="0" fontId="62" fillId="0" borderId="15" xfId="0" applyFont="1" applyFill="1" applyBorder="1" applyAlignment="1">
      <alignment horizontal="center" vertical="top" wrapText="1" readingOrder="1"/>
    </xf>
    <xf numFmtId="0" fontId="0" fillId="0" borderId="52" xfId="0" applyFill="1" applyBorder="1" applyAlignment="1">
      <alignment horizontal="center" vertical="top" wrapText="1" readingOrder="1"/>
    </xf>
    <xf numFmtId="0" fontId="0" fillId="0" borderId="31" xfId="0" applyFill="1" applyBorder="1" applyAlignment="1">
      <alignment horizontal="center" vertical="top" wrapText="1" readingOrder="1"/>
    </xf>
    <xf numFmtId="0" fontId="62" fillId="0" borderId="32" xfId="0" applyFont="1" applyFill="1" applyBorder="1" applyAlignment="1">
      <alignment horizontal="center" vertical="top" wrapText="1" readingOrder="1"/>
    </xf>
    <xf numFmtId="0" fontId="0" fillId="0" borderId="39" xfId="0" applyFill="1" applyBorder="1" applyAlignment="1">
      <alignment horizontal="center" vertical="top" wrapText="1" readingOrder="1"/>
    </xf>
    <xf numFmtId="0" fontId="0" fillId="0" borderId="30" xfId="0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center" vertical="center" wrapText="1" readingOrder="1"/>
    </xf>
    <xf numFmtId="0" fontId="59" fillId="0" borderId="31" xfId="0" applyFont="1" applyFill="1" applyBorder="1" applyAlignment="1">
      <alignment horizontal="left" vertical="top" wrapText="1" readingOrder="1"/>
    </xf>
    <xf numFmtId="0" fontId="59" fillId="0" borderId="30" xfId="0" applyFont="1" applyFill="1" applyBorder="1" applyAlignment="1">
      <alignment horizontal="left" vertical="top" wrapText="1" readingOrder="1"/>
    </xf>
    <xf numFmtId="0" fontId="0" fillId="0" borderId="29" xfId="0" applyFill="1" applyBorder="1" applyAlignment="1">
      <alignment horizontal="center" wrapText="1" readingOrder="1"/>
    </xf>
    <xf numFmtId="0" fontId="0" fillId="0" borderId="16" xfId="0" applyFill="1" applyBorder="1" applyAlignment="1">
      <alignment horizontal="center" wrapText="1" readingOrder="1"/>
    </xf>
    <xf numFmtId="0" fontId="62" fillId="0" borderId="46" xfId="0" applyFont="1" applyFill="1" applyBorder="1" applyAlignment="1">
      <alignment horizontal="center" vertical="top" wrapText="1" readingOrder="1"/>
    </xf>
    <xf numFmtId="0" fontId="0" fillId="0" borderId="0" xfId="0" applyFill="1" applyBorder="1" applyAlignment="1">
      <alignment horizontal="center" vertical="top" wrapText="1" readingOrder="1"/>
    </xf>
    <xf numFmtId="0" fontId="0" fillId="0" borderId="53" xfId="0" applyFill="1" applyBorder="1" applyAlignment="1">
      <alignment horizontal="center" vertical="top" wrapText="1" readingOrder="1"/>
    </xf>
    <xf numFmtId="178" fontId="59" fillId="0" borderId="43" xfId="0" applyNumberFormat="1" applyFont="1" applyFill="1" applyBorder="1" applyAlignment="1">
      <alignment horizontal="center" vertical="top" wrapText="1"/>
    </xf>
    <xf numFmtId="178" fontId="59" fillId="0" borderId="11" xfId="0" applyNumberFormat="1" applyFont="1" applyFill="1" applyBorder="1" applyAlignment="1">
      <alignment horizontal="center" vertical="top" wrapText="1"/>
    </xf>
    <xf numFmtId="178" fontId="59" fillId="0" borderId="44" xfId="0" applyNumberFormat="1" applyFont="1" applyFill="1" applyBorder="1" applyAlignment="1">
      <alignment horizontal="center" vertical="top" wrapText="1"/>
    </xf>
    <xf numFmtId="178" fontId="59" fillId="0" borderId="22" xfId="0" applyNumberFormat="1" applyFont="1" applyFill="1" applyBorder="1" applyAlignment="1">
      <alignment horizontal="center" vertical="top" wrapText="1"/>
    </xf>
    <xf numFmtId="0" fontId="62" fillId="0" borderId="30" xfId="0" applyFont="1" applyFill="1" applyBorder="1" applyAlignment="1">
      <alignment horizontal="center" vertical="top" wrapText="1"/>
    </xf>
    <xf numFmtId="0" fontId="62" fillId="0" borderId="32" xfId="0" applyFont="1" applyFill="1" applyBorder="1" applyAlignment="1">
      <alignment horizontal="center" vertical="top" wrapText="1"/>
    </xf>
    <xf numFmtId="49" fontId="62" fillId="0" borderId="15" xfId="0" applyNumberFormat="1" applyFont="1" applyBorder="1" applyAlignment="1">
      <alignment horizontal="center" vertical="top" wrapText="1" readingOrder="1"/>
    </xf>
    <xf numFmtId="49" fontId="62" fillId="0" borderId="31" xfId="0" applyNumberFormat="1" applyFont="1" applyBorder="1" applyAlignment="1">
      <alignment horizontal="center" vertical="top" wrapText="1" readingOrder="1"/>
    </xf>
    <xf numFmtId="49" fontId="62" fillId="0" borderId="12" xfId="0" applyNumberFormat="1" applyFont="1" applyBorder="1" applyAlignment="1">
      <alignment horizontal="center" vertical="top" readingOrder="1"/>
    </xf>
    <xf numFmtId="49" fontId="62" fillId="0" borderId="16" xfId="0" applyNumberFormat="1" applyFont="1" applyBorder="1" applyAlignment="1">
      <alignment horizontal="center" vertical="top" readingOrder="1"/>
    </xf>
    <xf numFmtId="178" fontId="59" fillId="0" borderId="42" xfId="0" applyNumberFormat="1" applyFont="1" applyBorder="1" applyAlignment="1">
      <alignment horizontal="center" vertical="top" wrapText="1"/>
    </xf>
    <xf numFmtId="178" fontId="59" fillId="0" borderId="59" xfId="0" applyNumberFormat="1" applyFont="1" applyBorder="1" applyAlignment="1">
      <alignment horizontal="center" vertical="top" wrapText="1"/>
    </xf>
    <xf numFmtId="178" fontId="59" fillId="0" borderId="34" xfId="0" applyNumberFormat="1" applyFont="1" applyBorder="1" applyAlignment="1">
      <alignment horizontal="center" vertical="top" wrapText="1"/>
    </xf>
    <xf numFmtId="178" fontId="59" fillId="0" borderId="28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left" vertical="top" wrapText="1" readingOrder="1"/>
    </xf>
    <xf numFmtId="0" fontId="62" fillId="0" borderId="12" xfId="0" applyNumberFormat="1" applyFont="1" applyBorder="1" applyAlignment="1">
      <alignment horizontal="center" vertical="center" wrapText="1" readingOrder="1"/>
    </xf>
    <xf numFmtId="0" fontId="62" fillId="0" borderId="29" xfId="0" applyNumberFormat="1" applyFont="1" applyBorder="1" applyAlignment="1">
      <alignment horizontal="center" vertical="center" wrapText="1" readingOrder="1"/>
    </xf>
    <xf numFmtId="0" fontId="62" fillId="0" borderId="16" xfId="0" applyNumberFormat="1" applyFont="1" applyBorder="1" applyAlignment="1">
      <alignment horizontal="center" vertical="center" wrapText="1" readingOrder="1"/>
    </xf>
    <xf numFmtId="49" fontId="62" fillId="0" borderId="29" xfId="0" applyNumberFormat="1" applyFont="1" applyBorder="1" applyAlignment="1">
      <alignment horizontal="center" vertical="top" readingOrder="1"/>
    </xf>
    <xf numFmtId="0" fontId="62" fillId="0" borderId="29" xfId="0" applyFont="1" applyBorder="1" applyAlignment="1">
      <alignment horizontal="center" vertical="top" wrapText="1" readingOrder="1"/>
    </xf>
    <xf numFmtId="0" fontId="62" fillId="0" borderId="16" xfId="0" applyFont="1" applyBorder="1" applyAlignment="1">
      <alignment horizontal="center" vertical="top" wrapText="1" readingOrder="1"/>
    </xf>
    <xf numFmtId="178" fontId="59" fillId="0" borderId="40" xfId="0" applyNumberFormat="1" applyFont="1" applyBorder="1" applyAlignment="1">
      <alignment horizontal="center" vertical="top" wrapText="1"/>
    </xf>
    <xf numFmtId="178" fontId="59" fillId="0" borderId="16" xfId="0" applyNumberFormat="1" applyFont="1" applyBorder="1" applyAlignment="1">
      <alignment horizontal="center" vertical="top" wrapText="1"/>
    </xf>
    <xf numFmtId="0" fontId="59" fillId="0" borderId="11" xfId="0" applyNumberFormat="1" applyFont="1" applyBorder="1" applyAlignment="1" applyProtection="1">
      <alignment horizontal="left" vertical="top" wrapText="1"/>
      <protection locked="0"/>
    </xf>
    <xf numFmtId="0" fontId="59" fillId="0" borderId="41" xfId="0" applyFont="1" applyBorder="1" applyAlignment="1">
      <alignment horizontal="center" vertical="top" wrapText="1"/>
    </xf>
    <xf numFmtId="0" fontId="59" fillId="0" borderId="56" xfId="0" applyFont="1" applyBorder="1" applyAlignment="1">
      <alignment horizontal="center" vertical="top" wrapText="1"/>
    </xf>
    <xf numFmtId="0" fontId="59" fillId="0" borderId="13" xfId="0" applyFont="1" applyBorder="1" applyAlignment="1">
      <alignment vertical="top" wrapText="1"/>
    </xf>
    <xf numFmtId="0" fontId="59" fillId="0" borderId="60" xfId="0" applyFont="1" applyBorder="1" applyAlignment="1">
      <alignment vertical="top" wrapText="1"/>
    </xf>
    <xf numFmtId="0" fontId="62" fillId="0" borderId="61" xfId="0" applyFont="1" applyBorder="1" applyAlignment="1">
      <alignment horizontal="center" vertical="top" wrapText="1"/>
    </xf>
    <xf numFmtId="0" fontId="62" fillId="0" borderId="62" xfId="0" applyFont="1" applyBorder="1" applyAlignment="1">
      <alignment horizontal="center" vertical="top" wrapText="1"/>
    </xf>
    <xf numFmtId="178" fontId="59" fillId="0" borderId="63" xfId="0" applyNumberFormat="1" applyFont="1" applyBorder="1" applyAlignment="1">
      <alignment horizontal="center" vertical="top" wrapText="1"/>
    </xf>
    <xf numFmtId="178" fontId="59" fillId="0" borderId="27" xfId="0" applyNumberFormat="1" applyFont="1" applyBorder="1" applyAlignment="1">
      <alignment horizontal="center" vertical="top" wrapText="1"/>
    </xf>
    <xf numFmtId="178" fontId="59" fillId="0" borderId="64" xfId="0" applyNumberFormat="1" applyFont="1" applyBorder="1" applyAlignment="1">
      <alignment horizontal="center" vertical="top" wrapText="1"/>
    </xf>
    <xf numFmtId="178" fontId="59" fillId="0" borderId="21" xfId="0" applyNumberFormat="1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readingOrder="1"/>
    </xf>
    <xf numFmtId="0" fontId="62" fillId="0" borderId="29" xfId="0" applyFont="1" applyBorder="1" applyAlignment="1">
      <alignment horizontal="center" vertical="top" readingOrder="1"/>
    </xf>
    <xf numFmtId="0" fontId="62" fillId="0" borderId="12" xfId="0" applyFont="1" applyBorder="1" applyAlignment="1">
      <alignment horizontal="left" vertical="top" wrapText="1" readingOrder="1"/>
    </xf>
    <xf numFmtId="0" fontId="62" fillId="0" borderId="29" xfId="0" applyFont="1" applyBorder="1" applyAlignment="1">
      <alignment horizontal="left" vertical="top" wrapText="1" readingOrder="1"/>
    </xf>
    <xf numFmtId="0" fontId="62" fillId="0" borderId="52" xfId="0" applyFont="1" applyBorder="1" applyAlignment="1">
      <alignment horizontal="center" vertical="top" wrapText="1" readingOrder="1"/>
    </xf>
    <xf numFmtId="0" fontId="70" fillId="0" borderId="0" xfId="0" applyFont="1" applyAlignment="1">
      <alignment horizontal="center" vertical="center" wrapText="1"/>
    </xf>
    <xf numFmtId="0" fontId="59" fillId="0" borderId="52" xfId="0" applyFont="1" applyBorder="1" applyAlignment="1">
      <alignment horizontal="center" vertical="top" wrapText="1" readingOrder="1"/>
    </xf>
    <xf numFmtId="178" fontId="59" fillId="0" borderId="29" xfId="0" applyNumberFormat="1" applyFont="1" applyBorder="1" applyAlignment="1">
      <alignment horizontal="center" vertical="top" readingOrder="1"/>
    </xf>
    <xf numFmtId="178" fontId="59" fillId="0" borderId="39" xfId="0" applyNumberFormat="1" applyFont="1" applyBorder="1" applyAlignment="1">
      <alignment horizontal="center" vertical="top" readingOrder="1"/>
    </xf>
    <xf numFmtId="0" fontId="59" fillId="0" borderId="17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top" wrapText="1"/>
    </xf>
    <xf numFmtId="2" fontId="59" fillId="33" borderId="43" xfId="0" applyNumberFormat="1" applyFont="1" applyFill="1" applyBorder="1" applyAlignment="1">
      <alignment horizontal="center" vertical="top" wrapText="1"/>
    </xf>
    <xf numFmtId="2" fontId="59" fillId="33" borderId="11" xfId="0" applyNumberFormat="1" applyFont="1" applyFill="1" applyBorder="1" applyAlignment="1">
      <alignment horizontal="center" vertical="top" wrapText="1"/>
    </xf>
    <xf numFmtId="0" fontId="0" fillId="0" borderId="29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59" fillId="0" borderId="12" xfId="0" applyFont="1" applyBorder="1" applyAlignment="1">
      <alignment horizontal="left" vertical="top" wrapText="1" readingOrder="1"/>
    </xf>
    <xf numFmtId="0" fontId="59" fillId="0" borderId="29" xfId="0" applyFont="1" applyBorder="1" applyAlignment="1">
      <alignment horizontal="left" vertical="top" wrapText="1" readingOrder="1"/>
    </xf>
    <xf numFmtId="0" fontId="0" fillId="0" borderId="29" xfId="0" applyFont="1" applyBorder="1" applyAlignment="1">
      <alignment horizontal="left" vertical="top" wrapText="1" readingOrder="1"/>
    </xf>
    <xf numFmtId="0" fontId="0" fillId="0" borderId="16" xfId="0" applyFont="1" applyBorder="1" applyAlignment="1">
      <alignment horizontal="left" vertical="top" wrapText="1" readingOrder="1"/>
    </xf>
    <xf numFmtId="0" fontId="62" fillId="0" borderId="15" xfId="0" applyFont="1" applyBorder="1" applyAlignment="1">
      <alignment horizontal="center" vertical="top" wrapText="1" readingOrder="1"/>
    </xf>
    <xf numFmtId="0" fontId="0" fillId="0" borderId="52" xfId="0" applyFont="1" applyBorder="1" applyAlignment="1">
      <alignment horizontal="center" wrapText="1" readingOrder="1"/>
    </xf>
    <xf numFmtId="0" fontId="0" fillId="0" borderId="31" xfId="0" applyFont="1" applyBorder="1" applyAlignment="1">
      <alignment horizontal="center" wrapText="1" readingOrder="1"/>
    </xf>
    <xf numFmtId="0" fontId="62" fillId="0" borderId="32" xfId="0" applyFont="1" applyBorder="1" applyAlignment="1">
      <alignment horizontal="center" vertical="top" wrapText="1"/>
    </xf>
    <xf numFmtId="0" fontId="62" fillId="0" borderId="39" xfId="0" applyFont="1" applyBorder="1" applyAlignment="1">
      <alignment horizontal="center" vertical="top" wrapText="1"/>
    </xf>
    <xf numFmtId="0" fontId="0" fillId="0" borderId="39" xfId="0" applyFont="1" applyBorder="1" applyAlignment="1">
      <alignment/>
    </xf>
    <xf numFmtId="0" fontId="0" fillId="0" borderId="30" xfId="0" applyFont="1" applyBorder="1" applyAlignment="1">
      <alignment/>
    </xf>
    <xf numFmtId="0" fontId="69" fillId="0" borderId="0" xfId="0" applyFont="1" applyFill="1" applyBorder="1" applyAlignment="1">
      <alignment horizontal="right" vertical="center" wrapText="1" readingOrder="1"/>
    </xf>
    <xf numFmtId="0" fontId="59" fillId="0" borderId="54" xfId="0" applyFont="1" applyBorder="1" applyAlignment="1">
      <alignment horizontal="left" vertical="center" wrapText="1"/>
    </xf>
    <xf numFmtId="0" fontId="59" fillId="0" borderId="46" xfId="0" applyFont="1" applyBorder="1" applyAlignment="1">
      <alignment horizontal="left" vertical="center" wrapText="1"/>
    </xf>
    <xf numFmtId="0" fontId="59" fillId="0" borderId="33" xfId="0" applyFont="1" applyBorder="1" applyAlignment="1">
      <alignment horizontal="left" vertical="center" wrapText="1"/>
    </xf>
    <xf numFmtId="2" fontId="59" fillId="33" borderId="44" xfId="0" applyNumberFormat="1" applyFont="1" applyFill="1" applyBorder="1" applyAlignment="1">
      <alignment horizontal="center" vertical="top" wrapText="1"/>
    </xf>
    <xf numFmtId="2" fontId="59" fillId="33" borderId="22" xfId="0" applyNumberFormat="1" applyFont="1" applyFill="1" applyBorder="1" applyAlignment="1">
      <alignment horizontal="center" vertical="top" wrapText="1"/>
    </xf>
    <xf numFmtId="0" fontId="7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top" wrapText="1" readingOrder="1"/>
    </xf>
    <xf numFmtId="0" fontId="59" fillId="0" borderId="16" xfId="0" applyFont="1" applyFill="1" applyBorder="1" applyAlignment="1">
      <alignment horizontal="center" vertical="top" wrapText="1" readingOrder="1"/>
    </xf>
    <xf numFmtId="0" fontId="59" fillId="0" borderId="50" xfId="0" applyFont="1" applyFill="1" applyBorder="1" applyAlignment="1">
      <alignment horizontal="center" vertical="center" wrapText="1"/>
    </xf>
    <xf numFmtId="0" fontId="59" fillId="0" borderId="54" xfId="0" applyFont="1" applyFill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46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54" xfId="0" applyFont="1" applyFill="1" applyBorder="1" applyAlignment="1">
      <alignment horizontal="left" vertical="center" wrapText="1"/>
    </xf>
    <xf numFmtId="0" fontId="59" fillId="0" borderId="33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vertical="top" readingOrder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62" fillId="0" borderId="11" xfId="0" applyFont="1" applyFill="1" applyBorder="1" applyAlignment="1">
      <alignment vertical="top" wrapText="1" readingOrder="1"/>
    </xf>
    <xf numFmtId="0" fontId="0" fillId="0" borderId="11" xfId="0" applyFill="1" applyBorder="1" applyAlignment="1">
      <alignment readingOrder="1"/>
    </xf>
    <xf numFmtId="0" fontId="62" fillId="0" borderId="11" xfId="0" applyFont="1" applyFill="1" applyBorder="1" applyAlignment="1">
      <alignment horizontal="center" vertical="top" readingOrder="1"/>
    </xf>
    <xf numFmtId="0" fontId="62" fillId="0" borderId="12" xfId="0" applyFont="1" applyFill="1" applyBorder="1" applyAlignment="1">
      <alignment horizontal="center" vertical="top" readingOrder="1"/>
    </xf>
    <xf numFmtId="2" fontId="62" fillId="0" borderId="11" xfId="0" applyNumberFormat="1" applyFont="1" applyFill="1" applyBorder="1" applyAlignment="1">
      <alignment horizontal="center" vertical="top" readingOrder="1"/>
    </xf>
    <xf numFmtId="2" fontId="62" fillId="0" borderId="12" xfId="0" applyNumberFormat="1" applyFont="1" applyFill="1" applyBorder="1" applyAlignment="1">
      <alignment horizontal="center" vertical="top" readingOrder="1"/>
    </xf>
    <xf numFmtId="2" fontId="62" fillId="33" borderId="11" xfId="0" applyNumberFormat="1" applyFont="1" applyFill="1" applyBorder="1" applyAlignment="1">
      <alignment horizontal="center" vertical="top" readingOrder="1"/>
    </xf>
    <xf numFmtId="2" fontId="62" fillId="33" borderId="12" xfId="0" applyNumberFormat="1" applyFont="1" applyFill="1" applyBorder="1" applyAlignment="1">
      <alignment horizontal="center" vertical="top" readingOrder="1"/>
    </xf>
    <xf numFmtId="178" fontId="62" fillId="0" borderId="11" xfId="0" applyNumberFormat="1" applyFont="1" applyFill="1" applyBorder="1" applyAlignment="1">
      <alignment horizontal="center" vertical="top" readingOrder="1"/>
    </xf>
    <xf numFmtId="178" fontId="62" fillId="0" borderId="12" xfId="0" applyNumberFormat="1" applyFont="1" applyFill="1" applyBorder="1" applyAlignment="1">
      <alignment horizontal="center" vertical="top" readingOrder="1"/>
    </xf>
    <xf numFmtId="0" fontId="59" fillId="0" borderId="29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62" fillId="0" borderId="52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59" fillId="0" borderId="17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2" fontId="59" fillId="0" borderId="43" xfId="0" applyNumberFormat="1" applyFont="1" applyFill="1" applyBorder="1" applyAlignment="1">
      <alignment horizontal="center" vertical="top" wrapText="1"/>
    </xf>
    <xf numFmtId="2" fontId="59" fillId="0" borderId="11" xfId="0" applyNumberFormat="1" applyFont="1" applyFill="1" applyBorder="1" applyAlignment="1">
      <alignment horizontal="center" vertical="top" wrapText="1"/>
    </xf>
    <xf numFmtId="2" fontId="59" fillId="0" borderId="44" xfId="0" applyNumberFormat="1" applyFont="1" applyFill="1" applyBorder="1" applyAlignment="1">
      <alignment horizontal="center" vertical="top" wrapText="1"/>
    </xf>
    <xf numFmtId="2" fontId="59" fillId="0" borderId="22" xfId="0" applyNumberFormat="1" applyFont="1" applyFill="1" applyBorder="1" applyAlignment="1">
      <alignment horizontal="center" vertical="top" wrapText="1"/>
    </xf>
    <xf numFmtId="0" fontId="62" fillId="0" borderId="39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left" vertical="center" wrapText="1" readingOrder="1"/>
    </xf>
    <xf numFmtId="0" fontId="59" fillId="0" borderId="16" xfId="0" applyFont="1" applyFill="1" applyBorder="1" applyAlignment="1">
      <alignment horizontal="left" vertical="center" wrapText="1" readingOrder="1"/>
    </xf>
    <xf numFmtId="0" fontId="0" fillId="0" borderId="29" xfId="0" applyFill="1" applyBorder="1" applyAlignment="1">
      <alignment horizontal="center" vertical="top" readingOrder="1"/>
    </xf>
    <xf numFmtId="0" fontId="0" fillId="0" borderId="16" xfId="0" applyFill="1" applyBorder="1" applyAlignment="1">
      <alignment horizontal="center" vertical="top" readingOrder="1"/>
    </xf>
    <xf numFmtId="0" fontId="0" fillId="0" borderId="29" xfId="0" applyFill="1" applyBorder="1" applyAlignment="1">
      <alignment horizontal="left" wrapText="1" readingOrder="1"/>
    </xf>
    <xf numFmtId="0" fontId="0" fillId="0" borderId="16" xfId="0" applyFill="1" applyBorder="1" applyAlignment="1">
      <alignment horizontal="left" wrapText="1" readingOrder="1"/>
    </xf>
    <xf numFmtId="0" fontId="0" fillId="0" borderId="29" xfId="0" applyFill="1" applyBorder="1" applyAlignment="1">
      <alignment wrapText="1" readingOrder="1"/>
    </xf>
    <xf numFmtId="0" fontId="0" fillId="0" borderId="16" xfId="0" applyFill="1" applyBorder="1" applyAlignment="1">
      <alignment wrapText="1" readingOrder="1"/>
    </xf>
    <xf numFmtId="0" fontId="62" fillId="0" borderId="29" xfId="0" applyFont="1" applyFill="1" applyBorder="1" applyAlignment="1">
      <alignment horizontal="center" vertical="top" readingOrder="1"/>
    </xf>
    <xf numFmtId="2" fontId="62" fillId="0" borderId="29" xfId="0" applyNumberFormat="1" applyFont="1" applyFill="1" applyBorder="1" applyAlignment="1">
      <alignment horizontal="center" vertical="top" readingOrder="1"/>
    </xf>
    <xf numFmtId="0" fontId="62" fillId="0" borderId="11" xfId="0" applyFont="1" applyFill="1" applyBorder="1" applyAlignment="1">
      <alignment horizontal="left" vertical="center" wrapText="1" readingOrder="1"/>
    </xf>
    <xf numFmtId="1" fontId="62" fillId="0" borderId="12" xfId="0" applyNumberFormat="1" applyFont="1" applyFill="1" applyBorder="1" applyAlignment="1">
      <alignment horizontal="center" vertical="center" wrapText="1" readingOrder="1"/>
    </xf>
    <xf numFmtId="0" fontId="59" fillId="0" borderId="12" xfId="0" applyFont="1" applyFill="1" applyBorder="1" applyAlignment="1">
      <alignment vertical="top" wrapText="1"/>
    </xf>
    <xf numFmtId="0" fontId="62" fillId="0" borderId="12" xfId="0" applyFont="1" applyFill="1" applyBorder="1" applyAlignment="1">
      <alignment horizontal="left" vertical="top" wrapText="1"/>
    </xf>
    <xf numFmtId="0" fontId="62" fillId="0" borderId="29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59" fillId="0" borderId="12" xfId="0" applyFont="1" applyFill="1" applyBorder="1" applyAlignment="1">
      <alignment horizontal="left" vertical="top" wrapText="1" readingOrder="1"/>
    </xf>
    <xf numFmtId="0" fontId="59" fillId="0" borderId="29" xfId="0" applyFont="1" applyFill="1" applyBorder="1" applyAlignment="1">
      <alignment horizontal="left" vertical="top" wrapText="1" readingOrder="1"/>
    </xf>
    <xf numFmtId="0" fontId="62" fillId="0" borderId="52" xfId="0" applyFont="1" applyFill="1" applyBorder="1" applyAlignment="1">
      <alignment horizontal="center" vertical="top" wrapText="1" readingOrder="1"/>
    </xf>
    <xf numFmtId="2" fontId="59" fillId="0" borderId="11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right" vertical="center" wrapText="1" readingOrder="1"/>
    </xf>
    <xf numFmtId="0" fontId="59" fillId="0" borderId="50" xfId="0" applyFont="1" applyFill="1" applyBorder="1" applyAlignment="1">
      <alignment vertical="top" wrapText="1"/>
    </xf>
    <xf numFmtId="0" fontId="65" fillId="0" borderId="54" xfId="0" applyFont="1" applyFill="1" applyBorder="1" applyAlignment="1">
      <alignment vertical="top" wrapText="1"/>
    </xf>
    <xf numFmtId="0" fontId="65" fillId="0" borderId="33" xfId="0" applyFont="1" applyFill="1" applyBorder="1" applyAlignment="1">
      <alignment vertical="top" wrapText="1"/>
    </xf>
    <xf numFmtId="0" fontId="62" fillId="0" borderId="16" xfId="0" applyFont="1" applyFill="1" applyBorder="1" applyAlignment="1">
      <alignment horizontal="center" vertical="top" readingOrder="1"/>
    </xf>
    <xf numFmtId="0" fontId="62" fillId="0" borderId="12" xfId="0" applyFont="1" applyFill="1" applyBorder="1" applyAlignment="1">
      <alignment vertical="top" wrapText="1" readingOrder="1"/>
    </xf>
    <xf numFmtId="0" fontId="60" fillId="0" borderId="29" xfId="0" applyFont="1" applyFill="1" applyBorder="1" applyAlignment="1">
      <alignment vertical="top" wrapText="1" readingOrder="1"/>
    </xf>
    <xf numFmtId="0" fontId="62" fillId="0" borderId="15" xfId="0" applyFont="1" applyFill="1" applyBorder="1" applyAlignment="1">
      <alignment horizontal="center" vertical="top" readingOrder="1"/>
    </xf>
    <xf numFmtId="0" fontId="60" fillId="0" borderId="52" xfId="0" applyFont="1" applyFill="1" applyBorder="1" applyAlignment="1">
      <alignment horizontal="center" vertical="top" readingOrder="1"/>
    </xf>
    <xf numFmtId="0" fontId="59" fillId="0" borderId="31" xfId="0" applyFont="1" applyFill="1" applyBorder="1" applyAlignment="1">
      <alignment vertical="top" wrapText="1" readingOrder="1"/>
    </xf>
    <xf numFmtId="0" fontId="59" fillId="0" borderId="53" xfId="0" applyFont="1" applyFill="1" applyBorder="1" applyAlignment="1">
      <alignment vertical="top" wrapText="1" readingOrder="1"/>
    </xf>
    <xf numFmtId="0" fontId="59" fillId="0" borderId="30" xfId="0" applyFont="1" applyFill="1" applyBorder="1" applyAlignment="1">
      <alignment vertical="top" wrapText="1" readingOrder="1"/>
    </xf>
    <xf numFmtId="0" fontId="60" fillId="0" borderId="29" xfId="0" applyFont="1" applyFill="1" applyBorder="1" applyAlignment="1">
      <alignment horizontal="center" vertical="top" readingOrder="1"/>
    </xf>
    <xf numFmtId="0" fontId="60" fillId="0" borderId="16" xfId="0" applyFont="1" applyFill="1" applyBorder="1" applyAlignment="1">
      <alignment horizontal="center" vertical="top" readingOrder="1"/>
    </xf>
    <xf numFmtId="0" fontId="60" fillId="0" borderId="29" xfId="0" applyFont="1" applyFill="1" applyBorder="1" applyAlignment="1">
      <alignment vertical="top" wrapText="1"/>
    </xf>
    <xf numFmtId="0" fontId="60" fillId="0" borderId="16" xfId="0" applyFont="1" applyFill="1" applyBorder="1" applyAlignment="1">
      <alignment vertical="top" wrapText="1" readingOrder="1"/>
    </xf>
    <xf numFmtId="0" fontId="62" fillId="0" borderId="51" xfId="0" applyFont="1" applyFill="1" applyBorder="1" applyAlignment="1">
      <alignment horizontal="center" vertical="top" readingOrder="1"/>
    </xf>
    <xf numFmtId="178" fontId="62" fillId="0" borderId="29" xfId="0" applyNumberFormat="1" applyFont="1" applyFill="1" applyBorder="1" applyAlignment="1">
      <alignment horizontal="center" vertical="top" readingOrder="1"/>
    </xf>
    <xf numFmtId="0" fontId="59" fillId="0" borderId="31" xfId="0" applyFont="1" applyFill="1" applyBorder="1" applyAlignment="1">
      <alignment vertical="top" wrapText="1"/>
    </xf>
    <xf numFmtId="0" fontId="59" fillId="0" borderId="53" xfId="0" applyFont="1" applyFill="1" applyBorder="1" applyAlignment="1">
      <alignment vertical="top" wrapText="1"/>
    </xf>
    <xf numFmtId="0" fontId="59" fillId="0" borderId="30" xfId="0" applyFont="1" applyFill="1" applyBorder="1" applyAlignment="1">
      <alignment vertical="top" wrapText="1"/>
    </xf>
    <xf numFmtId="178" fontId="62" fillId="0" borderId="51" xfId="0" applyNumberFormat="1" applyFont="1" applyFill="1" applyBorder="1" applyAlignment="1">
      <alignment horizontal="center" vertical="top" readingOrder="1"/>
    </xf>
    <xf numFmtId="178" fontId="59" fillId="0" borderId="12" xfId="0" applyNumberFormat="1" applyFont="1" applyFill="1" applyBorder="1" applyAlignment="1">
      <alignment horizontal="center" vertical="top" readingOrder="1"/>
    </xf>
    <xf numFmtId="0" fontId="46" fillId="0" borderId="16" xfId="0" applyFont="1" applyFill="1" applyBorder="1" applyAlignment="1">
      <alignment/>
    </xf>
    <xf numFmtId="0" fontId="46" fillId="0" borderId="16" xfId="0" applyFont="1" applyFill="1" applyBorder="1" applyAlignment="1">
      <alignment wrapText="1"/>
    </xf>
    <xf numFmtId="0" fontId="62" fillId="0" borderId="16" xfId="0" applyFont="1" applyFill="1" applyBorder="1" applyAlignment="1">
      <alignment horizontal="left" vertical="top" wrapText="1"/>
    </xf>
    <xf numFmtId="0" fontId="62" fillId="0" borderId="50" xfId="0" applyFont="1" applyFill="1" applyBorder="1" applyAlignment="1">
      <alignment horizontal="center" vertical="top" readingOrder="1"/>
    </xf>
    <xf numFmtId="9" fontId="62" fillId="0" borderId="11" xfId="0" applyNumberFormat="1" applyFont="1" applyBorder="1" applyAlignment="1">
      <alignment horizontal="center" vertical="center" wrapText="1"/>
    </xf>
    <xf numFmtId="178" fontId="59" fillId="0" borderId="37" xfId="0" applyNumberFormat="1" applyFont="1" applyBorder="1" applyAlignment="1">
      <alignment horizontal="center" vertical="center" wrapText="1"/>
    </xf>
    <xf numFmtId="178" fontId="59" fillId="0" borderId="65" xfId="0" applyNumberFormat="1" applyFont="1" applyBorder="1" applyAlignment="1">
      <alignment horizontal="center" vertical="center" wrapText="1"/>
    </xf>
    <xf numFmtId="0" fontId="59" fillId="0" borderId="14" xfId="0" applyFont="1" applyBorder="1" applyAlignment="1">
      <alignment vertical="top" wrapText="1"/>
    </xf>
    <xf numFmtId="0" fontId="62" fillId="0" borderId="66" xfId="0" applyFont="1" applyBorder="1" applyAlignment="1">
      <alignment horizontal="center" vertical="top" wrapText="1"/>
    </xf>
    <xf numFmtId="0" fontId="59" fillId="0" borderId="63" xfId="0" applyFont="1" applyBorder="1" applyAlignment="1">
      <alignment horizontal="left" vertical="center" wrapText="1"/>
    </xf>
    <xf numFmtId="0" fontId="59" fillId="0" borderId="27" xfId="0" applyFont="1" applyBorder="1" applyAlignment="1">
      <alignment horizontal="left" vertical="center" wrapText="1"/>
    </xf>
    <xf numFmtId="178" fontId="59" fillId="0" borderId="0" xfId="0" applyNumberFormat="1" applyFont="1" applyBorder="1" applyAlignment="1">
      <alignment horizontal="center" vertical="center" wrapText="1"/>
    </xf>
    <xf numFmtId="0" fontId="62" fillId="0" borderId="32" xfId="0" applyFont="1" applyBorder="1" applyAlignment="1">
      <alignment horizontal="left" vertical="center" wrapText="1" readingOrder="1"/>
    </xf>
    <xf numFmtId="0" fontId="62" fillId="0" borderId="39" xfId="0" applyFont="1" applyBorder="1" applyAlignment="1">
      <alignment horizontal="left" vertical="center" wrapText="1" readingOrder="1"/>
    </xf>
    <xf numFmtId="0" fontId="62" fillId="0" borderId="30" xfId="0" applyFont="1" applyBorder="1" applyAlignment="1">
      <alignment horizontal="left" vertical="center" wrapText="1" readingOrder="1"/>
    </xf>
    <xf numFmtId="49" fontId="62" fillId="0" borderId="12" xfId="60" applyNumberFormat="1" applyFont="1" applyBorder="1" applyAlignment="1">
      <alignment horizontal="center" vertical="center" wrapText="1" readingOrder="1"/>
    </xf>
    <xf numFmtId="49" fontId="0" fillId="0" borderId="29" xfId="0" applyNumberFormat="1" applyBorder="1" applyAlignment="1">
      <alignment horizontal="center" vertical="center" wrapText="1" readingOrder="1"/>
    </xf>
    <xf numFmtId="49" fontId="0" fillId="0" borderId="16" xfId="0" applyNumberFormat="1" applyBorder="1" applyAlignment="1">
      <alignment horizontal="center" vertical="center" wrapText="1" readingOrder="1"/>
    </xf>
    <xf numFmtId="49" fontId="62" fillId="0" borderId="29" xfId="0" applyNumberFormat="1" applyFont="1" applyBorder="1" applyAlignment="1">
      <alignment horizontal="center" vertical="center" wrapText="1" readingOrder="1"/>
    </xf>
    <xf numFmtId="178" fontId="59" fillId="0" borderId="11" xfId="0" applyNumberFormat="1" applyFont="1" applyBorder="1" applyAlignment="1">
      <alignment horizontal="center" vertical="center" wrapText="1" readingOrder="1"/>
    </xf>
    <xf numFmtId="49" fontId="62" fillId="0" borderId="29" xfId="0" applyNumberFormat="1" applyFont="1" applyBorder="1" applyAlignment="1">
      <alignment horizontal="left" vertical="center" wrapText="1" readingOrder="1"/>
    </xf>
    <xf numFmtId="0" fontId="62" fillId="0" borderId="11" xfId="0" applyFont="1" applyBorder="1" applyAlignment="1">
      <alignment horizontal="left" wrapText="1" readingOrder="1"/>
    </xf>
    <xf numFmtId="49" fontId="59" fillId="0" borderId="52" xfId="0" applyNumberFormat="1" applyFont="1" applyBorder="1" applyAlignment="1">
      <alignment horizontal="left" vertical="center" wrapText="1" readingOrder="1"/>
    </xf>
    <xf numFmtId="49" fontId="59" fillId="0" borderId="0" xfId="0" applyNumberFormat="1" applyFont="1" applyBorder="1" applyAlignment="1">
      <alignment horizontal="left" vertical="center" wrapText="1" readingOrder="1"/>
    </xf>
    <xf numFmtId="49" fontId="59" fillId="0" borderId="39" xfId="0" applyNumberFormat="1" applyFont="1" applyBorder="1" applyAlignment="1">
      <alignment horizontal="left" vertical="center" wrapText="1" readingOrder="1"/>
    </xf>
    <xf numFmtId="49" fontId="0" fillId="0" borderId="29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 readingOrder="1"/>
    </xf>
    <xf numFmtId="49" fontId="62" fillId="0" borderId="12" xfId="0" applyNumberFormat="1" applyFont="1" applyBorder="1" applyAlignment="1">
      <alignment horizontal="center" vertical="center" wrapText="1"/>
    </xf>
    <xf numFmtId="49" fontId="62" fillId="0" borderId="29" xfId="0" applyNumberFormat="1" applyFont="1" applyBorder="1" applyAlignment="1">
      <alignment horizontal="center" vertical="center" wrapText="1"/>
    </xf>
    <xf numFmtId="49" fontId="62" fillId="0" borderId="16" xfId="0" applyNumberFormat="1" applyFont="1" applyBorder="1" applyAlignment="1">
      <alignment horizontal="center" vertical="center" wrapText="1"/>
    </xf>
    <xf numFmtId="178" fontId="59" fillId="0" borderId="12" xfId="0" applyNumberFormat="1" applyFont="1" applyBorder="1" applyAlignment="1">
      <alignment horizontal="center" vertical="center" wrapText="1"/>
    </xf>
    <xf numFmtId="178" fontId="59" fillId="0" borderId="29" xfId="0" applyNumberFormat="1" applyFont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center" vertical="center" wrapText="1" readingOrder="1"/>
    </xf>
    <xf numFmtId="0" fontId="5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 wrapText="1"/>
    </xf>
    <xf numFmtId="0" fontId="62" fillId="0" borderId="29" xfId="0" applyFont="1" applyBorder="1" applyAlignment="1">
      <alignment horizontal="center" vertical="center" wrapText="1" readingOrder="1"/>
    </xf>
    <xf numFmtId="0" fontId="0" fillId="0" borderId="11" xfId="0" applyBorder="1" applyAlignment="1">
      <alignment vertical="top" wrapText="1"/>
    </xf>
    <xf numFmtId="0" fontId="59" fillId="0" borderId="57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62" fillId="0" borderId="30" xfId="0" applyFont="1" applyBorder="1" applyAlignment="1">
      <alignment horizontal="center" vertical="center" wrapText="1"/>
    </xf>
    <xf numFmtId="178" fontId="59" fillId="0" borderId="42" xfId="0" applyNumberFormat="1" applyFont="1" applyBorder="1" applyAlignment="1">
      <alignment horizontal="center" vertical="center" wrapText="1"/>
    </xf>
    <xf numFmtId="178" fontId="59" fillId="0" borderId="59" xfId="0" applyNumberFormat="1" applyFont="1" applyBorder="1" applyAlignment="1">
      <alignment horizontal="center" vertical="center" wrapText="1"/>
    </xf>
    <xf numFmtId="0" fontId="59" fillId="0" borderId="41" xfId="0" applyFont="1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178" fontId="59" fillId="0" borderId="40" xfId="0" applyNumberFormat="1" applyFont="1" applyBorder="1" applyAlignment="1">
      <alignment horizontal="center" vertical="center" wrapText="1"/>
    </xf>
    <xf numFmtId="178" fontId="59" fillId="0" borderId="16" xfId="0" applyNumberFormat="1" applyFont="1" applyBorder="1" applyAlignment="1">
      <alignment horizontal="center" vertical="center" wrapText="1"/>
    </xf>
    <xf numFmtId="0" fontId="62" fillId="0" borderId="51" xfId="0" applyFont="1" applyBorder="1" applyAlignment="1">
      <alignment horizontal="center" vertical="center" wrapText="1"/>
    </xf>
    <xf numFmtId="178" fontId="62" fillId="0" borderId="51" xfId="0" applyNumberFormat="1" applyFont="1" applyBorder="1" applyAlignment="1">
      <alignment horizontal="center" vertical="center" wrapText="1" readingOrder="1"/>
    </xf>
    <xf numFmtId="0" fontId="0" fillId="0" borderId="30" xfId="0" applyBorder="1" applyAlignment="1">
      <alignment horizontal="left" vertical="center" wrapText="1" readingOrder="1"/>
    </xf>
    <xf numFmtId="0" fontId="59" fillId="0" borderId="29" xfId="0" applyFont="1" applyBorder="1" applyAlignment="1">
      <alignment vertical="top" wrapText="1"/>
    </xf>
    <xf numFmtId="0" fontId="59" fillId="0" borderId="55" xfId="0" applyFont="1" applyBorder="1" applyAlignment="1">
      <alignment horizontal="left" vertical="center" wrapText="1"/>
    </xf>
    <xf numFmtId="0" fontId="46" fillId="0" borderId="67" xfId="0" applyFont="1" applyBorder="1" applyAlignment="1">
      <alignment horizontal="left" vertical="center" wrapText="1"/>
    </xf>
    <xf numFmtId="49" fontId="62" fillId="33" borderId="12" xfId="0" applyNumberFormat="1" applyFont="1" applyFill="1" applyBorder="1" applyAlignment="1">
      <alignment horizontal="left" vertical="top" wrapText="1" readingOrder="1"/>
    </xf>
    <xf numFmtId="0" fontId="62" fillId="33" borderId="12" xfId="0" applyFont="1" applyFill="1" applyBorder="1" applyAlignment="1">
      <alignment horizontal="center" vertical="top" wrapText="1"/>
    </xf>
    <xf numFmtId="0" fontId="59" fillId="33" borderId="12" xfId="0" applyFont="1" applyFill="1" applyBorder="1" applyAlignment="1">
      <alignment vertical="top" wrapText="1"/>
    </xf>
    <xf numFmtId="2" fontId="59" fillId="33" borderId="12" xfId="0" applyNumberFormat="1" applyFont="1" applyFill="1" applyBorder="1" applyAlignment="1">
      <alignment horizontal="center" vertical="center" wrapText="1" readingOrder="1"/>
    </xf>
    <xf numFmtId="49" fontId="62" fillId="33" borderId="12" xfId="0" applyNumberFormat="1" applyFont="1" applyFill="1" applyBorder="1" applyAlignment="1">
      <alignment horizontal="center" vertical="top" wrapText="1" readingOrder="1"/>
    </xf>
    <xf numFmtId="49" fontId="62" fillId="33" borderId="12" xfId="0" applyNumberFormat="1" applyFont="1" applyFill="1" applyBorder="1" applyAlignment="1">
      <alignment horizontal="center" vertical="center" wrapText="1" readingOrder="1"/>
    </xf>
    <xf numFmtId="0" fontId="0" fillId="33" borderId="29" xfId="0" applyFill="1" applyBorder="1" applyAlignment="1">
      <alignment horizontal="left" vertical="top" wrapText="1" readingOrder="1"/>
    </xf>
    <xf numFmtId="0" fontId="0" fillId="33" borderId="29" xfId="0" applyFill="1" applyBorder="1" applyAlignment="1">
      <alignment horizontal="center" vertical="top" wrapText="1"/>
    </xf>
    <xf numFmtId="0" fontId="62" fillId="33" borderId="29" xfId="0" applyFont="1" applyFill="1" applyBorder="1" applyAlignment="1">
      <alignment horizontal="center" vertical="top" wrapText="1"/>
    </xf>
    <xf numFmtId="2" fontId="62" fillId="33" borderId="29" xfId="0" applyNumberFormat="1" applyFont="1" applyFill="1" applyBorder="1" applyAlignment="1">
      <alignment horizontal="center" vertical="center" wrapText="1" readingOrder="1"/>
    </xf>
    <xf numFmtId="2" fontId="62" fillId="33" borderId="29" xfId="0" applyNumberFormat="1" applyFont="1" applyFill="1" applyBorder="1" applyAlignment="1">
      <alignment horizontal="center" vertical="center" wrapText="1"/>
    </xf>
    <xf numFmtId="2" fontId="62" fillId="33" borderId="39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top" wrapText="1" readingOrder="1"/>
    </xf>
    <xf numFmtId="0" fontId="0" fillId="33" borderId="16" xfId="0" applyFill="1" applyBorder="1" applyAlignment="1">
      <alignment horizontal="center" vertical="center" wrapText="1" readingOrder="1"/>
    </xf>
    <xf numFmtId="0" fontId="0" fillId="33" borderId="29" xfId="0" applyFont="1" applyFill="1" applyBorder="1" applyAlignment="1">
      <alignment horizontal="center" wrapText="1" readingOrder="1"/>
    </xf>
    <xf numFmtId="0" fontId="0" fillId="33" borderId="16" xfId="0" applyFill="1" applyBorder="1" applyAlignment="1">
      <alignment horizontal="left" vertical="top" wrapText="1" readingOrder="1"/>
    </xf>
    <xf numFmtId="0" fontId="0" fillId="33" borderId="16" xfId="0" applyFill="1" applyBorder="1" applyAlignment="1">
      <alignment horizontal="center" vertical="top" wrapText="1"/>
    </xf>
    <xf numFmtId="49" fontId="62" fillId="33" borderId="11" xfId="0" applyNumberFormat="1" applyFont="1" applyFill="1" applyBorder="1" applyAlignment="1">
      <alignment horizontal="center" vertical="top" wrapText="1" readingOrder="1"/>
    </xf>
    <xf numFmtId="49" fontId="62" fillId="33" borderId="11" xfId="0" applyNumberFormat="1" applyFont="1" applyFill="1" applyBorder="1" applyAlignment="1">
      <alignment horizontal="center" vertical="center" wrapText="1" readingOrder="1"/>
    </xf>
    <xf numFmtId="0" fontId="0" fillId="33" borderId="16" xfId="0" applyFont="1" applyFill="1" applyBorder="1" applyAlignment="1">
      <alignment horizontal="center" wrapText="1" readingOrder="1"/>
    </xf>
    <xf numFmtId="0" fontId="59" fillId="33" borderId="11" xfId="0" applyFont="1" applyFill="1" applyBorder="1" applyAlignment="1">
      <alignment vertical="top" wrapText="1"/>
    </xf>
    <xf numFmtId="0" fontId="62" fillId="33" borderId="50" xfId="0" applyFont="1" applyFill="1" applyBorder="1" applyAlignment="1">
      <alignment horizontal="center" vertical="top" wrapText="1"/>
    </xf>
    <xf numFmtId="0" fontId="59" fillId="33" borderId="17" xfId="0" applyFont="1" applyFill="1" applyBorder="1" applyAlignment="1">
      <alignment horizontal="left" vertical="top" wrapText="1"/>
    </xf>
    <xf numFmtId="2" fontId="59" fillId="33" borderId="43" xfId="0" applyNumberFormat="1" applyFont="1" applyFill="1" applyBorder="1" applyAlignment="1">
      <alignment horizontal="center" vertical="center" wrapText="1"/>
    </xf>
    <xf numFmtId="2" fontId="59" fillId="33" borderId="44" xfId="0" applyNumberFormat="1" applyFont="1" applyFill="1" applyBorder="1" applyAlignment="1">
      <alignment horizontal="center" vertical="center" wrapText="1"/>
    </xf>
    <xf numFmtId="0" fontId="62" fillId="33" borderId="68" xfId="0" applyFont="1" applyFill="1" applyBorder="1" applyAlignment="1">
      <alignment horizontal="center" vertical="center" wrapText="1" readingOrder="1"/>
    </xf>
    <xf numFmtId="0" fontId="62" fillId="33" borderId="46" xfId="0" applyFont="1" applyFill="1" applyBorder="1" applyAlignment="1">
      <alignment horizontal="center" vertical="center" wrapText="1" readingOrder="1"/>
    </xf>
    <xf numFmtId="0" fontId="62" fillId="33" borderId="32" xfId="0" applyFont="1" applyFill="1" applyBorder="1" applyAlignment="1">
      <alignment horizontal="center" vertical="center" wrapText="1" readingOrder="1"/>
    </xf>
    <xf numFmtId="0" fontId="59" fillId="33" borderId="18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62" fillId="33" borderId="69" xfId="0" applyFont="1" applyFill="1" applyBorder="1" applyAlignment="1">
      <alignment horizontal="center" vertical="center" wrapText="1" readingOrder="1"/>
    </xf>
    <xf numFmtId="0" fontId="62" fillId="33" borderId="0" xfId="0" applyFont="1" applyFill="1" applyBorder="1" applyAlignment="1">
      <alignment horizontal="center" vertical="center" wrapText="1" readingOrder="1"/>
    </xf>
    <xf numFmtId="0" fontId="62" fillId="33" borderId="39" xfId="0" applyFont="1" applyFill="1" applyBorder="1" applyAlignment="1">
      <alignment horizontal="center" vertical="center" wrapText="1" readingOrder="1"/>
    </xf>
    <xf numFmtId="0" fontId="59" fillId="33" borderId="18" xfId="0" applyFont="1" applyFill="1" applyBorder="1" applyAlignment="1">
      <alignment horizontal="center" vertical="top" wrapText="1"/>
    </xf>
    <xf numFmtId="0" fontId="59" fillId="33" borderId="19" xfId="0" applyFont="1" applyFill="1" applyBorder="1" applyAlignment="1">
      <alignment horizontal="center" vertical="top" wrapText="1"/>
    </xf>
    <xf numFmtId="2" fontId="59" fillId="33" borderId="23" xfId="0" applyNumberFormat="1" applyFont="1" applyFill="1" applyBorder="1" applyAlignment="1">
      <alignment horizontal="center" vertical="center" wrapText="1"/>
    </xf>
    <xf numFmtId="0" fontId="62" fillId="33" borderId="70" xfId="0" applyFont="1" applyFill="1" applyBorder="1" applyAlignment="1">
      <alignment horizontal="center" vertical="center" wrapText="1" readingOrder="1"/>
    </xf>
    <xf numFmtId="0" fontId="62" fillId="33" borderId="53" xfId="0" applyFont="1" applyFill="1" applyBorder="1" applyAlignment="1">
      <alignment horizontal="center" vertical="center" wrapText="1" readingOrder="1"/>
    </xf>
    <xf numFmtId="0" fontId="62" fillId="33" borderId="30" xfId="0" applyFont="1" applyFill="1" applyBorder="1" applyAlignment="1">
      <alignment horizontal="center" vertical="center" wrapText="1" readingOrder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6"/>
  <sheetViews>
    <sheetView zoomScale="115" zoomScaleNormal="115" zoomScaleSheetLayoutView="100" zoomScalePageLayoutView="0" workbookViewId="0" topLeftCell="A1">
      <pane ySplit="5" topLeftCell="A21" activePane="bottomLeft" state="frozen"/>
      <selection pane="topLeft" activeCell="A1" sqref="A1"/>
      <selection pane="bottomLeft" activeCell="L28" sqref="L28"/>
    </sheetView>
  </sheetViews>
  <sheetFormatPr defaultColWidth="9.140625" defaultRowHeight="15"/>
  <cols>
    <col min="1" max="1" width="3.00390625" style="67" customWidth="1"/>
    <col min="2" max="2" width="4.57421875" style="67" customWidth="1"/>
    <col min="3" max="3" width="25.57421875" style="511" customWidth="1"/>
    <col min="4" max="4" width="10.7109375" style="29" customWidth="1"/>
    <col min="5" max="5" width="14.421875" style="29" customWidth="1"/>
    <col min="6" max="9" width="12.00390625" style="29" customWidth="1"/>
    <col min="10" max="11" width="11.140625" style="29" customWidth="1"/>
    <col min="12" max="16384" width="9.140625" style="29" customWidth="1"/>
  </cols>
  <sheetData>
    <row r="1" spans="1:12" ht="20.25" customHeight="1">
      <c r="A1" s="689" t="s">
        <v>306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54"/>
    </row>
    <row r="2" spans="1:12" ht="30.75" customHeight="1">
      <c r="A2" s="693" t="s">
        <v>536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54"/>
    </row>
    <row r="3" spans="1:12" ht="12" customHeight="1">
      <c r="A3" s="694"/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54"/>
    </row>
    <row r="4" spans="1:12" ht="16.5" customHeight="1">
      <c r="A4" s="691" t="s">
        <v>509</v>
      </c>
      <c r="B4" s="681" t="s">
        <v>510</v>
      </c>
      <c r="C4" s="681" t="s">
        <v>511</v>
      </c>
      <c r="D4" s="681" t="s">
        <v>512</v>
      </c>
      <c r="E4" s="690" t="s">
        <v>54</v>
      </c>
      <c r="F4" s="677">
        <v>2015</v>
      </c>
      <c r="G4" s="702">
        <v>2016</v>
      </c>
      <c r="H4" s="677">
        <v>2017</v>
      </c>
      <c r="I4" s="695">
        <v>2018</v>
      </c>
      <c r="J4" s="695">
        <v>2019</v>
      </c>
      <c r="K4" s="695">
        <v>2020</v>
      </c>
      <c r="L4" s="54"/>
    </row>
    <row r="5" spans="1:11" ht="18" customHeight="1">
      <c r="A5" s="691"/>
      <c r="B5" s="682"/>
      <c r="C5" s="682"/>
      <c r="D5" s="682"/>
      <c r="E5" s="690"/>
      <c r="F5" s="678"/>
      <c r="G5" s="703"/>
      <c r="H5" s="678"/>
      <c r="I5" s="695"/>
      <c r="J5" s="695"/>
      <c r="K5" s="695"/>
    </row>
    <row r="6" spans="1:12" s="518" customFormat="1" ht="15" customHeight="1" thickBot="1">
      <c r="A6" s="501">
        <v>1</v>
      </c>
      <c r="B6" s="501">
        <v>2</v>
      </c>
      <c r="C6" s="501">
        <v>3</v>
      </c>
      <c r="D6" s="501">
        <v>4</v>
      </c>
      <c r="E6" s="571">
        <v>5</v>
      </c>
      <c r="F6" s="501">
        <v>6</v>
      </c>
      <c r="G6" s="561">
        <v>7</v>
      </c>
      <c r="H6" s="501">
        <v>8</v>
      </c>
      <c r="I6" s="501">
        <v>9</v>
      </c>
      <c r="J6" s="501">
        <v>10</v>
      </c>
      <c r="K6" s="501">
        <v>11</v>
      </c>
      <c r="L6" s="517"/>
    </row>
    <row r="7" spans="1:12" s="11" customFormat="1" ht="14.25" customHeight="1">
      <c r="A7" s="664">
        <v>1</v>
      </c>
      <c r="B7" s="667" t="s">
        <v>515</v>
      </c>
      <c r="C7" s="696" t="s">
        <v>305</v>
      </c>
      <c r="D7" s="563" t="s">
        <v>11</v>
      </c>
      <c r="E7" s="563">
        <f>SUM(F7:K7)</f>
        <v>1019583.929</v>
      </c>
      <c r="F7" s="563">
        <f aca="true" t="shared" si="0" ref="F7:K7">SUM(F8:F9)</f>
        <v>164366.81</v>
      </c>
      <c r="G7" s="563">
        <f t="shared" si="0"/>
        <v>154906.24000000002</v>
      </c>
      <c r="H7" s="563">
        <f t="shared" si="0"/>
        <v>160931.66999999998</v>
      </c>
      <c r="I7" s="563">
        <f t="shared" si="0"/>
        <v>179982.2</v>
      </c>
      <c r="J7" s="563">
        <f t="shared" si="0"/>
        <v>173163.049</v>
      </c>
      <c r="K7" s="564">
        <f t="shared" si="0"/>
        <v>186233.96</v>
      </c>
      <c r="L7" s="56"/>
    </row>
    <row r="8" spans="1:12" s="11" customFormat="1" ht="14.25" customHeight="1">
      <c r="A8" s="665"/>
      <c r="B8" s="668"/>
      <c r="C8" s="697"/>
      <c r="D8" s="565" t="s">
        <v>5</v>
      </c>
      <c r="E8" s="566">
        <f>SUM(F8:K8)</f>
        <v>326931.007</v>
      </c>
      <c r="F8" s="565">
        <f>Модернизация!F66</f>
        <v>54136.11</v>
      </c>
      <c r="G8" s="565">
        <f>Модернизация!G66</f>
        <v>52740.238000000005</v>
      </c>
      <c r="H8" s="565">
        <f>Модернизация!H66</f>
        <v>49070.350000000006</v>
      </c>
      <c r="I8" s="565">
        <f>Модернизация!I66</f>
        <v>59652.45</v>
      </c>
      <c r="J8" s="565">
        <f>Модернизация!J66</f>
        <v>51800.15900000001</v>
      </c>
      <c r="K8" s="567">
        <f>Модернизация!K66</f>
        <v>59531.70000000001</v>
      </c>
      <c r="L8" s="56"/>
    </row>
    <row r="9" spans="1:12" s="11" customFormat="1" ht="14.25" customHeight="1" thickBot="1">
      <c r="A9" s="666"/>
      <c r="B9" s="669"/>
      <c r="C9" s="698"/>
      <c r="D9" s="568" t="s">
        <v>6</v>
      </c>
      <c r="E9" s="569">
        <f>SUM(F9:K9)</f>
        <v>692652.922</v>
      </c>
      <c r="F9" s="568">
        <f>Модернизация!F67</f>
        <v>110230.7</v>
      </c>
      <c r="G9" s="568">
        <f>Модернизация!G67</f>
        <v>102166.00200000001</v>
      </c>
      <c r="H9" s="568">
        <f>Модернизация!H67</f>
        <v>111861.31999999998</v>
      </c>
      <c r="I9" s="568">
        <f>Модернизация!I67</f>
        <v>120329.75</v>
      </c>
      <c r="J9" s="568">
        <f>Модернизация!J67</f>
        <v>121362.89</v>
      </c>
      <c r="K9" s="570">
        <f>Модернизация!K67</f>
        <v>126702.25999999998</v>
      </c>
      <c r="L9" s="56"/>
    </row>
    <row r="10" spans="1:12" s="11" customFormat="1" ht="14.25" customHeight="1">
      <c r="A10" s="521"/>
      <c r="B10" s="522"/>
      <c r="C10" s="512" t="s">
        <v>453</v>
      </c>
      <c r="D10" s="523" t="s">
        <v>11</v>
      </c>
      <c r="E10" s="572">
        <f>Модернизация!E14</f>
        <v>458522.34400000004</v>
      </c>
      <c r="F10" s="558">
        <f>Модернизация!F14</f>
        <v>75399.5</v>
      </c>
      <c r="G10" s="506">
        <f>Модернизация!G14</f>
        <v>70165.695</v>
      </c>
      <c r="H10" s="558">
        <f>Модернизация!H14</f>
        <v>69383.25</v>
      </c>
      <c r="I10" s="558">
        <f>Модернизация!I14</f>
        <v>80986.56</v>
      </c>
      <c r="J10" s="558">
        <f>Модернизация!J14</f>
        <v>77637.429</v>
      </c>
      <c r="K10" s="558">
        <f>Модернизация!K14</f>
        <v>84949.91</v>
      </c>
      <c r="L10" s="56"/>
    </row>
    <row r="11" spans="1:12" s="11" customFormat="1" ht="14.25" customHeight="1">
      <c r="A11" s="500"/>
      <c r="B11" s="519"/>
      <c r="C11" s="513" t="s">
        <v>51</v>
      </c>
      <c r="D11" s="503" t="s">
        <v>11</v>
      </c>
      <c r="E11" s="566">
        <f>Модернизация!E21+Модернизация!E40+Модернизация!E52</f>
        <v>480480.195</v>
      </c>
      <c r="F11" s="557">
        <f>Модернизация!F21+Модернизация!F40+Модернизация!F52</f>
        <v>74396.09000000001</v>
      </c>
      <c r="G11" s="430">
        <f>Модернизация!G21+Модернизация!G40+Модернизация!G52</f>
        <v>71368.985</v>
      </c>
      <c r="H11" s="557">
        <f>Модернизация!H21+Модернизация!H40+Модернизация!H52</f>
        <v>79139.7</v>
      </c>
      <c r="I11" s="557">
        <f>Модернизация!I21+Модернизация!I40+Модернизация!I52</f>
        <v>83590.23</v>
      </c>
      <c r="J11" s="557">
        <f>Модернизация!J21+Модернизация!J40+Модернизация!J52</f>
        <v>83525.08</v>
      </c>
      <c r="K11" s="557">
        <f>Модернизация!K21+Модернизация!K40+Модернизация!K52</f>
        <v>88460.11</v>
      </c>
      <c r="L11" s="56"/>
    </row>
    <row r="12" spans="1:12" ht="14.25" customHeight="1">
      <c r="A12" s="520"/>
      <c r="B12" s="520"/>
      <c r="C12" s="513" t="s">
        <v>422</v>
      </c>
      <c r="D12" s="503" t="s">
        <v>11</v>
      </c>
      <c r="E12" s="566">
        <f>Модернизация!E24</f>
        <v>72307.69</v>
      </c>
      <c r="F12" s="557">
        <f>Модернизация!F24</f>
        <v>12144.72</v>
      </c>
      <c r="G12" s="430">
        <f>Модернизация!G24</f>
        <v>11721.05</v>
      </c>
      <c r="H12" s="557">
        <f>Модернизация!H24</f>
        <v>11716.59</v>
      </c>
      <c r="I12" s="557">
        <f>Модернизация!I24</f>
        <v>12540.69</v>
      </c>
      <c r="J12" s="557">
        <f>Модернизация!J24</f>
        <v>11405.62</v>
      </c>
      <c r="K12" s="557">
        <f>Модернизация!K24</f>
        <v>12779.02</v>
      </c>
      <c r="L12" s="55"/>
    </row>
    <row r="13" spans="1:12" ht="14.25" customHeight="1">
      <c r="A13" s="520"/>
      <c r="B13" s="520"/>
      <c r="C13" s="513" t="s">
        <v>307</v>
      </c>
      <c r="D13" s="503" t="s">
        <v>11</v>
      </c>
      <c r="E13" s="566">
        <f>Модернизация!E27+Модернизация!E34</f>
        <v>265</v>
      </c>
      <c r="F13" s="557">
        <f>Модернизация!F27+Модернизация!F34</f>
        <v>173</v>
      </c>
      <c r="G13" s="430">
        <f>Модернизация!G27+Модернизация!G34</f>
        <v>35</v>
      </c>
      <c r="H13" s="557">
        <f>Модернизация!H27+Модернизация!H34</f>
        <v>15</v>
      </c>
      <c r="I13" s="557">
        <f>Модернизация!I27+Модернизация!I34</f>
        <v>14</v>
      </c>
      <c r="J13" s="557">
        <f>Модернизация!J27+Модернизация!J34</f>
        <v>14</v>
      </c>
      <c r="K13" s="557">
        <f>Модернизация!K27+Модернизация!K34</f>
        <v>14</v>
      </c>
      <c r="L13" s="55"/>
    </row>
    <row r="14" spans="1:12" ht="14.25" customHeight="1">
      <c r="A14" s="520"/>
      <c r="B14" s="520"/>
      <c r="C14" s="513" t="s">
        <v>423</v>
      </c>
      <c r="D14" s="503" t="s">
        <v>11</v>
      </c>
      <c r="E14" s="566">
        <f>Модернизация!E30</f>
        <v>191.57000000000005</v>
      </c>
      <c r="F14" s="557">
        <f>Модернизация!F30</f>
        <v>44</v>
      </c>
      <c r="G14" s="430">
        <f>Модернизация!G30</f>
        <v>23.89</v>
      </c>
      <c r="H14" s="557">
        <f>Модернизация!H30</f>
        <v>30.92</v>
      </c>
      <c r="I14" s="557">
        <f>Модернизация!I30</f>
        <v>30.92</v>
      </c>
      <c r="J14" s="557">
        <f>Модернизация!J30</f>
        <v>30.92</v>
      </c>
      <c r="K14" s="557">
        <f>Модернизация!K30</f>
        <v>30.92</v>
      </c>
      <c r="L14" s="55"/>
    </row>
    <row r="15" spans="1:12" ht="14.25" customHeight="1" thickBot="1">
      <c r="A15" s="527"/>
      <c r="B15" s="527"/>
      <c r="C15" s="528" t="s">
        <v>146</v>
      </c>
      <c r="D15" s="529" t="s">
        <v>11</v>
      </c>
      <c r="E15" s="573">
        <f>Модернизация!E49</f>
        <v>7385.51</v>
      </c>
      <c r="F15" s="559">
        <f>Модернизация!F49</f>
        <v>2209.5</v>
      </c>
      <c r="G15" s="505">
        <f>Модернизация!G49</f>
        <v>1470</v>
      </c>
      <c r="H15" s="559">
        <f>Модернизация!H49</f>
        <v>646.21</v>
      </c>
      <c r="I15" s="559">
        <f>Модернизация!I49</f>
        <v>2509.8</v>
      </c>
      <c r="J15" s="559">
        <f>Модернизация!J49</f>
        <v>550</v>
      </c>
      <c r="K15" s="559">
        <f>Модернизация!K49</f>
        <v>0</v>
      </c>
      <c r="L15" s="55"/>
    </row>
    <row r="16" spans="1:12" s="11" customFormat="1" ht="14.25" customHeight="1">
      <c r="A16" s="664">
        <v>2</v>
      </c>
      <c r="B16" s="667" t="s">
        <v>516</v>
      </c>
      <c r="C16" s="683" t="s">
        <v>304</v>
      </c>
      <c r="D16" s="563" t="s">
        <v>11</v>
      </c>
      <c r="E16" s="563">
        <f>SUM(F16:K16)</f>
        <v>5827.22</v>
      </c>
      <c r="F16" s="563">
        <f aca="true" t="shared" si="1" ref="F16:K16">F17+F18</f>
        <v>1040.44</v>
      </c>
      <c r="G16" s="563">
        <f>G17+G18</f>
        <v>1371.1499999999999</v>
      </c>
      <c r="H16" s="563">
        <f t="shared" si="1"/>
        <v>1112.5500000000002</v>
      </c>
      <c r="I16" s="563">
        <f t="shared" si="1"/>
        <v>1236.8000000000002</v>
      </c>
      <c r="J16" s="563">
        <f t="shared" si="1"/>
        <v>519.74</v>
      </c>
      <c r="K16" s="564">
        <f t="shared" si="1"/>
        <v>546.54</v>
      </c>
      <c r="L16" s="56"/>
    </row>
    <row r="17" spans="1:12" s="11" customFormat="1" ht="14.25" customHeight="1">
      <c r="A17" s="665"/>
      <c r="B17" s="668"/>
      <c r="C17" s="684"/>
      <c r="D17" s="565" t="s">
        <v>5</v>
      </c>
      <c r="E17" s="566">
        <f>SUM(F17:K17)</f>
        <v>4234.220000000001</v>
      </c>
      <c r="F17" s="565">
        <f>'Молодежная политика'!F59</f>
        <v>791.84</v>
      </c>
      <c r="G17" s="565">
        <f>'Молодежная политика'!G59</f>
        <v>1092.85</v>
      </c>
      <c r="H17" s="565">
        <f>'Молодежная политика'!H59</f>
        <v>818.5500000000001</v>
      </c>
      <c r="I17" s="565">
        <f>'Молодежная политика'!I59</f>
        <v>978.6600000000001</v>
      </c>
      <c r="J17" s="565">
        <f>'Молодежная политика'!J59</f>
        <v>262.76</v>
      </c>
      <c r="K17" s="567">
        <f>'Молодежная политика'!K59</f>
        <v>289.56</v>
      </c>
      <c r="L17" s="56"/>
    </row>
    <row r="18" spans="1:12" s="11" customFormat="1" ht="14.25" customHeight="1" thickBot="1">
      <c r="A18" s="666"/>
      <c r="B18" s="669"/>
      <c r="C18" s="685"/>
      <c r="D18" s="568" t="s">
        <v>6</v>
      </c>
      <c r="E18" s="569">
        <f>SUM(F18:K18)</f>
        <v>1593</v>
      </c>
      <c r="F18" s="568">
        <f>'Молодежная политика'!F60</f>
        <v>248.6</v>
      </c>
      <c r="G18" s="568">
        <f>'Молодежная политика'!G60</f>
        <v>278.3</v>
      </c>
      <c r="H18" s="568">
        <f>'Молодежная политика'!H60</f>
        <v>294</v>
      </c>
      <c r="I18" s="568">
        <f>'Молодежная политика'!I60</f>
        <v>258.14</v>
      </c>
      <c r="J18" s="568">
        <f>'Молодежная политика'!J60</f>
        <v>256.98</v>
      </c>
      <c r="K18" s="570">
        <f>'Молодежная политика'!K60</f>
        <v>256.98</v>
      </c>
      <c r="L18" s="56"/>
    </row>
    <row r="19" spans="1:12" s="11" customFormat="1" ht="14.25" customHeight="1">
      <c r="A19" s="521"/>
      <c r="B19" s="522"/>
      <c r="C19" s="512" t="s">
        <v>439</v>
      </c>
      <c r="D19" s="523" t="s">
        <v>11</v>
      </c>
      <c r="E19" s="572">
        <f>'Молодежная политика'!E11+'Молодежная политика'!E29+'Молодежная политика'!E51</f>
        <v>846</v>
      </c>
      <c r="F19" s="558">
        <f>'Молодежная политика'!F11+'Молодежная политика'!F29+'Молодежная политика'!F51</f>
        <v>187</v>
      </c>
      <c r="G19" s="506">
        <f>'Молодежная политика'!G11+'Молодежная политика'!G29+'Молодежная политика'!G51</f>
        <v>407</v>
      </c>
      <c r="H19" s="558">
        <f>'Молодежная политика'!H11+'Молодежная политика'!H29+'Молодежная политика'!H51</f>
        <v>105</v>
      </c>
      <c r="I19" s="558">
        <f>'Молодежная политика'!I11+'Молодежная политика'!I29+'Молодежная политика'!I51</f>
        <v>147</v>
      </c>
      <c r="J19" s="558">
        <f>'Молодежная политика'!J11+'Молодежная политика'!J29+'Молодежная политика'!J51</f>
        <v>0</v>
      </c>
      <c r="K19" s="558">
        <f>'Молодежная политика'!K11+'Молодежная политика'!K29+'Молодежная политика'!K51</f>
        <v>0</v>
      </c>
      <c r="L19" s="56"/>
    </row>
    <row r="20" spans="1:12" s="11" customFormat="1" ht="14.25" customHeight="1">
      <c r="A20" s="500"/>
      <c r="B20" s="519"/>
      <c r="C20" s="513" t="s">
        <v>51</v>
      </c>
      <c r="D20" s="503" t="s">
        <v>11</v>
      </c>
      <c r="E20" s="566">
        <f>'Молодежная политика'!E38</f>
        <v>2526.7699999999995</v>
      </c>
      <c r="F20" s="557">
        <f>'Молодежная политика'!F38</f>
        <v>352.6</v>
      </c>
      <c r="G20" s="430">
        <f>'Молодежная политика'!G38</f>
        <v>378.3</v>
      </c>
      <c r="H20" s="557">
        <f>'Молодежная политика'!H38</f>
        <v>490.89</v>
      </c>
      <c r="I20" s="557">
        <f>'Молодежная политика'!I38</f>
        <v>521.5</v>
      </c>
      <c r="J20" s="557">
        <f>'Молодежная политика'!J38</f>
        <v>391.74</v>
      </c>
      <c r="K20" s="557">
        <f>'Молодежная политика'!K38</f>
        <v>391.74</v>
      </c>
      <c r="L20" s="56"/>
    </row>
    <row r="21" spans="1:12" ht="14.25" customHeight="1">
      <c r="A21" s="520"/>
      <c r="B21" s="520"/>
      <c r="C21" s="513" t="s">
        <v>422</v>
      </c>
      <c r="D21" s="503" t="s">
        <v>11</v>
      </c>
      <c r="E21" s="566">
        <f>'Молодежная политика'!E41</f>
        <v>60</v>
      </c>
      <c r="F21" s="557">
        <f>'Молодежная политика'!F41</f>
        <v>20</v>
      </c>
      <c r="G21" s="430">
        <f>'Молодежная политика'!G41</f>
        <v>20</v>
      </c>
      <c r="H21" s="557">
        <f>'Молодежная политика'!H41</f>
        <v>20</v>
      </c>
      <c r="I21" s="557">
        <f>'Молодежная политика'!I41</f>
        <v>0</v>
      </c>
      <c r="J21" s="557">
        <f>'Молодежная политика'!J41</f>
        <v>0</v>
      </c>
      <c r="K21" s="557">
        <f>'Молодежная политика'!K41</f>
        <v>0</v>
      </c>
      <c r="L21" s="55"/>
    </row>
    <row r="22" spans="1:12" ht="14.25" customHeight="1">
      <c r="A22" s="520"/>
      <c r="B22" s="520"/>
      <c r="C22" s="513" t="s">
        <v>307</v>
      </c>
      <c r="D22" s="503" t="s">
        <v>11</v>
      </c>
      <c r="E22" s="566">
        <f>'Молодежная политика'!E21+'Молодежная политика'!E44</f>
        <v>1919.02</v>
      </c>
      <c r="F22" s="557">
        <f>'Молодежная политика'!F21+'Молодежная политика'!F44</f>
        <v>352.12</v>
      </c>
      <c r="G22" s="430">
        <f>'Молодежная политика'!G21+'Молодежная политика'!G44</f>
        <v>447.39</v>
      </c>
      <c r="H22" s="557">
        <f>'Молодежная политика'!H21+'Молодежная политика'!H44</f>
        <v>390.41</v>
      </c>
      <c r="I22" s="557">
        <f>'Молодежная политика'!I21+'Молодежная политика'!I44</f>
        <v>446.30000000000007</v>
      </c>
      <c r="J22" s="557">
        <f>'Молодежная политика'!J21+'Молодежная политика'!J44</f>
        <v>128</v>
      </c>
      <c r="K22" s="557">
        <f>'Молодежная политика'!K21+'Молодежная политика'!K44</f>
        <v>154.8</v>
      </c>
      <c r="L22" s="55"/>
    </row>
    <row r="23" spans="1:12" ht="14.25" customHeight="1" thickBot="1">
      <c r="A23" s="520"/>
      <c r="B23" s="520"/>
      <c r="C23" s="513" t="s">
        <v>146</v>
      </c>
      <c r="D23" s="503" t="s">
        <v>11</v>
      </c>
      <c r="E23" s="566">
        <f>'Молодежная политика'!E47</f>
        <v>475.43</v>
      </c>
      <c r="F23" s="557">
        <f>'Молодежная политика'!F47</f>
        <v>128.72</v>
      </c>
      <c r="G23" s="430">
        <f>'Молодежная политика'!G47</f>
        <v>118.46000000000001</v>
      </c>
      <c r="H23" s="557">
        <f>'Молодежная политика'!H47</f>
        <v>106.25</v>
      </c>
      <c r="I23" s="557">
        <f>'Молодежная политика'!I47</f>
        <v>122</v>
      </c>
      <c r="J23" s="557">
        <f>'Молодежная политика'!J47</f>
        <v>0</v>
      </c>
      <c r="K23" s="557">
        <f>'Молодежная политика'!K47</f>
        <v>0</v>
      </c>
      <c r="L23" s="55"/>
    </row>
    <row r="24" spans="1:12" s="11" customFormat="1" ht="14.25" customHeight="1">
      <c r="A24" s="673">
        <v>3</v>
      </c>
      <c r="B24" s="667" t="s">
        <v>517</v>
      </c>
      <c r="C24" s="679" t="s">
        <v>152</v>
      </c>
      <c r="D24" s="563" t="s">
        <v>11</v>
      </c>
      <c r="E24" s="563">
        <f>SUM(F24:K24)</f>
        <v>58233.40000000001</v>
      </c>
      <c r="F24" s="563">
        <f aca="true" t="shared" si="2" ref="F24:K24">F25</f>
        <v>8640.8</v>
      </c>
      <c r="G24" s="563">
        <f t="shared" si="2"/>
        <v>9309.77</v>
      </c>
      <c r="H24" s="563">
        <f t="shared" si="2"/>
        <v>9712.76</v>
      </c>
      <c r="I24" s="563">
        <f t="shared" si="2"/>
        <v>10224.03</v>
      </c>
      <c r="J24" s="563">
        <f t="shared" si="2"/>
        <v>10138.02</v>
      </c>
      <c r="K24" s="564">
        <f t="shared" si="2"/>
        <v>10208.02</v>
      </c>
      <c r="L24" s="56"/>
    </row>
    <row r="25" spans="1:12" s="11" customFormat="1" ht="14.25" customHeight="1" thickBot="1">
      <c r="A25" s="674"/>
      <c r="B25" s="669"/>
      <c r="C25" s="680"/>
      <c r="D25" s="568" t="s">
        <v>5</v>
      </c>
      <c r="E25" s="568">
        <f>SUM(F25:K25)</f>
        <v>58233.40000000001</v>
      </c>
      <c r="F25" s="568">
        <f>МИТО!F34</f>
        <v>8640.8</v>
      </c>
      <c r="G25" s="568">
        <f>МИТО!G34</f>
        <v>9309.77</v>
      </c>
      <c r="H25" s="568">
        <f>МИТО!H34</f>
        <v>9712.76</v>
      </c>
      <c r="I25" s="568">
        <f>МИТО!I34</f>
        <v>10224.03</v>
      </c>
      <c r="J25" s="568">
        <f>МИТО!J34</f>
        <v>10138.02</v>
      </c>
      <c r="K25" s="570">
        <f>МИТО!K34</f>
        <v>10208.02</v>
      </c>
      <c r="L25" s="56"/>
    </row>
    <row r="26" spans="1:11" ht="8.25" customHeight="1" thickBot="1">
      <c r="A26" s="531"/>
      <c r="B26" s="532"/>
      <c r="C26" s="532"/>
      <c r="D26" s="532"/>
      <c r="E26" s="574"/>
      <c r="F26" s="532"/>
      <c r="G26" s="532"/>
      <c r="H26" s="532"/>
      <c r="I26" s="532"/>
      <c r="J26" s="532"/>
      <c r="K26" s="532"/>
    </row>
    <row r="27" spans="1:12" s="11" customFormat="1" ht="14.25" customHeight="1">
      <c r="A27" s="675"/>
      <c r="B27" s="661"/>
      <c r="C27" s="699" t="s">
        <v>151</v>
      </c>
      <c r="D27" s="502" t="s">
        <v>11</v>
      </c>
      <c r="E27" s="563">
        <f>SUM(F27:K27)</f>
        <v>6482.400000000001</v>
      </c>
      <c r="F27" s="502">
        <f aca="true" t="shared" si="3" ref="F27:K27">SUM(F28:F29)</f>
        <v>6482.400000000001</v>
      </c>
      <c r="G27" s="560">
        <f t="shared" si="3"/>
        <v>0</v>
      </c>
      <c r="H27" s="502">
        <f t="shared" si="3"/>
        <v>0</v>
      </c>
      <c r="I27" s="502">
        <f t="shared" si="3"/>
        <v>0</v>
      </c>
      <c r="J27" s="502">
        <f t="shared" si="3"/>
        <v>0</v>
      </c>
      <c r="K27" s="504">
        <f t="shared" si="3"/>
        <v>0</v>
      </c>
      <c r="L27" s="56"/>
    </row>
    <row r="28" spans="1:12" s="11" customFormat="1" ht="14.25" customHeight="1">
      <c r="A28" s="692"/>
      <c r="B28" s="662"/>
      <c r="C28" s="700"/>
      <c r="D28" s="499" t="s">
        <v>5</v>
      </c>
      <c r="E28" s="565">
        <f>SUM(F28:K28)</f>
        <v>5592.8</v>
      </c>
      <c r="F28" s="499">
        <f>ОКСМП!G61</f>
        <v>5592.8</v>
      </c>
      <c r="G28" s="430">
        <v>0</v>
      </c>
      <c r="H28" s="499">
        <f>ОКСМП!I61</f>
        <v>0</v>
      </c>
      <c r="I28" s="499">
        <f>ОКСМП!J61</f>
        <v>0</v>
      </c>
      <c r="J28" s="499">
        <v>0</v>
      </c>
      <c r="K28" s="524">
        <v>0</v>
      </c>
      <c r="L28" s="56"/>
    </row>
    <row r="29" spans="1:12" s="11" customFormat="1" ht="14.25" customHeight="1" thickBot="1">
      <c r="A29" s="676"/>
      <c r="B29" s="663"/>
      <c r="C29" s="701"/>
      <c r="D29" s="525" t="s">
        <v>6</v>
      </c>
      <c r="E29" s="568">
        <f>SUM(F29:K29)</f>
        <v>889.6</v>
      </c>
      <c r="F29" s="525">
        <f>ОКСМП!G62</f>
        <v>889.6</v>
      </c>
      <c r="G29" s="530">
        <v>0</v>
      </c>
      <c r="H29" s="525">
        <f>ОКСМП!I62</f>
        <v>0</v>
      </c>
      <c r="I29" s="525">
        <f>ОКСМП!J62</f>
        <v>0</v>
      </c>
      <c r="J29" s="525">
        <v>0</v>
      </c>
      <c r="K29" s="526">
        <v>0</v>
      </c>
      <c r="L29" s="56"/>
    </row>
    <row r="30" spans="1:11" ht="6.75" customHeight="1" thickBot="1">
      <c r="A30" s="531"/>
      <c r="B30" s="532"/>
      <c r="C30" s="532"/>
      <c r="D30" s="532"/>
      <c r="E30" s="574"/>
      <c r="F30" s="532"/>
      <c r="G30" s="532"/>
      <c r="H30" s="532"/>
      <c r="I30" s="532"/>
      <c r="J30" s="532"/>
      <c r="K30" s="532"/>
    </row>
    <row r="31" spans="1:12" s="11" customFormat="1" ht="14.25" customHeight="1">
      <c r="A31" s="675"/>
      <c r="B31" s="661"/>
      <c r="C31" s="699" t="s">
        <v>154</v>
      </c>
      <c r="D31" s="502" t="s">
        <v>11</v>
      </c>
      <c r="E31" s="563">
        <f>SUM(F31:I31)</f>
        <v>15957.039999999999</v>
      </c>
      <c r="F31" s="502">
        <f>SUM(F32:F32)</f>
        <v>15957.039999999999</v>
      </c>
      <c r="G31" s="560">
        <f>SUM(G32)</f>
        <v>0</v>
      </c>
      <c r="H31" s="502">
        <f>SUM(H32)</f>
        <v>0</v>
      </c>
      <c r="I31" s="502">
        <f>SUM(I32)</f>
        <v>0</v>
      </c>
      <c r="J31" s="502">
        <f>SUM(J32)</f>
        <v>0</v>
      </c>
      <c r="K31" s="504">
        <f>SUM(K32)</f>
        <v>0</v>
      </c>
      <c r="L31" s="56"/>
    </row>
    <row r="32" spans="1:12" s="11" customFormat="1" ht="14.25" customHeight="1" thickBot="1">
      <c r="A32" s="676"/>
      <c r="B32" s="663"/>
      <c r="C32" s="701"/>
      <c r="D32" s="525" t="s">
        <v>5</v>
      </c>
      <c r="E32" s="568">
        <f>SUM(F32:K32)</f>
        <v>15957.039999999999</v>
      </c>
      <c r="F32" s="525">
        <f>ЦБО!F28</f>
        <v>15957.039999999999</v>
      </c>
      <c r="G32" s="530">
        <f>ЦБО!G28</f>
        <v>0</v>
      </c>
      <c r="H32" s="525">
        <v>0</v>
      </c>
      <c r="I32" s="525">
        <v>0</v>
      </c>
      <c r="J32" s="525">
        <v>0</v>
      </c>
      <c r="K32" s="526">
        <v>0</v>
      </c>
      <c r="L32" s="56"/>
    </row>
    <row r="33" spans="3:11" ht="11.25" customHeight="1" thickBot="1">
      <c r="C33" s="510"/>
      <c r="D33" s="431"/>
      <c r="E33" s="575"/>
      <c r="F33" s="431"/>
      <c r="G33" s="562"/>
      <c r="H33" s="431"/>
      <c r="I33" s="431"/>
      <c r="J33" s="431"/>
      <c r="K33" s="431"/>
    </row>
    <row r="34" spans="1:11" ht="22.5" customHeight="1">
      <c r="A34" s="670"/>
      <c r="B34" s="686">
        <v>7000000000</v>
      </c>
      <c r="C34" s="704" t="s">
        <v>513</v>
      </c>
      <c r="D34" s="533" t="s">
        <v>514</v>
      </c>
      <c r="E34" s="534">
        <f>SUM(F34:K34)</f>
        <v>1106083.989</v>
      </c>
      <c r="F34" s="534">
        <f aca="true" t="shared" si="4" ref="F34:K34">SUM(F35:F36)</f>
        <v>196487.49</v>
      </c>
      <c r="G34" s="534">
        <f t="shared" si="4"/>
        <v>165587.16000000003</v>
      </c>
      <c r="H34" s="534">
        <f>SUM(H35:H36)</f>
        <v>171756.97999999998</v>
      </c>
      <c r="I34" s="534">
        <f>SUM(I35:I36)</f>
        <v>191443.03</v>
      </c>
      <c r="J34" s="534">
        <f t="shared" si="4"/>
        <v>183820.809</v>
      </c>
      <c r="K34" s="535">
        <f t="shared" si="4"/>
        <v>196988.52</v>
      </c>
    </row>
    <row r="35" spans="1:11" ht="14.25" customHeight="1">
      <c r="A35" s="671"/>
      <c r="B35" s="687"/>
      <c r="C35" s="705"/>
      <c r="D35" s="514" t="s">
        <v>5</v>
      </c>
      <c r="E35" s="515">
        <f>SUM(F35:K35)</f>
        <v>410948.46700000006</v>
      </c>
      <c r="F35" s="516">
        <f aca="true" t="shared" si="5" ref="F35:K35">F8+F17+F25+F28+F32</f>
        <v>85118.59</v>
      </c>
      <c r="G35" s="516">
        <f t="shared" si="5"/>
        <v>63142.85800000001</v>
      </c>
      <c r="H35" s="516">
        <f t="shared" si="5"/>
        <v>59601.66000000001</v>
      </c>
      <c r="I35" s="516">
        <f t="shared" si="5"/>
        <v>70855.14</v>
      </c>
      <c r="J35" s="516">
        <f t="shared" si="5"/>
        <v>62200.93900000001</v>
      </c>
      <c r="K35" s="536">
        <f t="shared" si="5"/>
        <v>70029.28000000001</v>
      </c>
    </row>
    <row r="36" spans="1:11" ht="14.25" customHeight="1" thickBot="1">
      <c r="A36" s="672"/>
      <c r="B36" s="688"/>
      <c r="C36" s="706"/>
      <c r="D36" s="537" t="s">
        <v>6</v>
      </c>
      <c r="E36" s="538">
        <f>SUM(F36:K36)</f>
        <v>695135.522</v>
      </c>
      <c r="F36" s="539">
        <f aca="true" t="shared" si="6" ref="F36:K36">F29+F18+F9</f>
        <v>111368.9</v>
      </c>
      <c r="G36" s="539">
        <f t="shared" si="6"/>
        <v>102444.30200000001</v>
      </c>
      <c r="H36" s="539">
        <f>H29+H18+H9</f>
        <v>112155.31999999998</v>
      </c>
      <c r="I36" s="539">
        <f t="shared" si="6"/>
        <v>120587.89</v>
      </c>
      <c r="J36" s="539">
        <f>J29+J18+J9</f>
        <v>121619.87</v>
      </c>
      <c r="K36" s="540">
        <f t="shared" si="6"/>
        <v>126959.23999999998</v>
      </c>
    </row>
  </sheetData>
  <sheetProtection/>
  <mergeCells count="31">
    <mergeCell ref="J4:J5"/>
    <mergeCell ref="C34:C36"/>
    <mergeCell ref="I4:I5"/>
    <mergeCell ref="C4:C5"/>
    <mergeCell ref="B31:B32"/>
    <mergeCell ref="C31:C32"/>
    <mergeCell ref="A1:K1"/>
    <mergeCell ref="E4:E5"/>
    <mergeCell ref="F4:F5"/>
    <mergeCell ref="A4:A5"/>
    <mergeCell ref="B4:B5"/>
    <mergeCell ref="A27:A29"/>
    <mergeCell ref="A2:K3"/>
    <mergeCell ref="K4:K5"/>
    <mergeCell ref="C7:C9"/>
    <mergeCell ref="C27:C29"/>
    <mergeCell ref="H4:H5"/>
    <mergeCell ref="B24:B25"/>
    <mergeCell ref="C24:C25"/>
    <mergeCell ref="A16:A18"/>
    <mergeCell ref="D4:D5"/>
    <mergeCell ref="C16:C18"/>
    <mergeCell ref="G4:G5"/>
    <mergeCell ref="B16:B18"/>
    <mergeCell ref="B27:B29"/>
    <mergeCell ref="A7:A9"/>
    <mergeCell ref="B7:B9"/>
    <mergeCell ref="A34:A36"/>
    <mergeCell ref="A24:A25"/>
    <mergeCell ref="A31:A32"/>
    <mergeCell ref="B34:B36"/>
  </mergeCells>
  <printOptions horizontalCentered="1"/>
  <pageMargins left="0.1968503937007874" right="0.1968503937007874" top="0.7480314960629921" bottom="0.1968503937007874" header="0" footer="0"/>
  <pageSetup fitToWidth="0" fitToHeight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29"/>
  <sheetViews>
    <sheetView zoomScaleSheetLayoutView="100" workbookViewId="0" topLeftCell="A1">
      <pane ySplit="6" topLeftCell="A19" activePane="bottomLeft" state="frozen"/>
      <selection pane="topLeft" activeCell="A1" sqref="A1"/>
      <selection pane="bottomLeft" activeCell="F32" sqref="F32"/>
    </sheetView>
  </sheetViews>
  <sheetFormatPr defaultColWidth="19.57421875" defaultRowHeight="18.75" customHeight="1"/>
  <cols>
    <col min="1" max="1" width="3.421875" style="284" customWidth="1"/>
    <col min="2" max="2" width="34.140625" style="395" customWidth="1"/>
    <col min="3" max="3" width="6.421875" style="396" customWidth="1"/>
    <col min="4" max="4" width="6.00390625" style="325" customWidth="1"/>
    <col min="5" max="6" width="7.57421875" style="325" customWidth="1"/>
    <col min="7" max="9" width="7.8515625" style="325" customWidth="1"/>
    <col min="10" max="10" width="51.421875" style="233" customWidth="1"/>
    <col min="11" max="11" width="5.57421875" style="233" customWidth="1"/>
    <col min="12" max="14" width="5.421875" style="233" customWidth="1"/>
    <col min="15" max="15" width="13.140625" style="233" customWidth="1"/>
    <col min="16" max="16384" width="19.57421875" style="233" customWidth="1"/>
  </cols>
  <sheetData>
    <row r="1" spans="6:15" ht="39.75" customHeight="1">
      <c r="F1" s="1068" t="s">
        <v>471</v>
      </c>
      <c r="G1" s="1068"/>
      <c r="H1" s="1068"/>
      <c r="I1" s="1068"/>
      <c r="J1" s="1068"/>
      <c r="K1" s="1068"/>
      <c r="L1" s="1068"/>
      <c r="M1" s="1068"/>
      <c r="N1" s="1068"/>
      <c r="O1" s="1068"/>
    </row>
    <row r="2" spans="1:15" ht="39" customHeight="1">
      <c r="A2" s="1179" t="s">
        <v>389</v>
      </c>
      <c r="B2" s="1179"/>
      <c r="C2" s="1179"/>
      <c r="D2" s="1179"/>
      <c r="E2" s="1179"/>
      <c r="F2" s="1179"/>
      <c r="G2" s="1179"/>
      <c r="H2" s="1179"/>
      <c r="I2" s="1179"/>
      <c r="J2" s="1179"/>
      <c r="K2" s="1179"/>
      <c r="L2" s="1179"/>
      <c r="M2" s="1179"/>
      <c r="N2" s="1179"/>
      <c r="O2" s="1179"/>
    </row>
    <row r="3" ht="11.25" customHeight="1">
      <c r="O3" s="397" t="s">
        <v>7</v>
      </c>
    </row>
    <row r="4" spans="1:15" s="323" customFormat="1" ht="39" customHeight="1">
      <c r="A4" s="1071" t="s">
        <v>16</v>
      </c>
      <c r="B4" s="1180" t="s">
        <v>15</v>
      </c>
      <c r="C4" s="1071" t="s">
        <v>8</v>
      </c>
      <c r="D4" s="1071" t="s">
        <v>9</v>
      </c>
      <c r="E4" s="1182" t="s">
        <v>0</v>
      </c>
      <c r="F4" s="1183"/>
      <c r="G4" s="1183"/>
      <c r="H4" s="1183"/>
      <c r="I4" s="1184"/>
      <c r="J4" s="1185" t="s">
        <v>17</v>
      </c>
      <c r="K4" s="1186"/>
      <c r="L4" s="1186"/>
      <c r="M4" s="1186"/>
      <c r="N4" s="1187"/>
      <c r="O4" s="1071" t="s">
        <v>14</v>
      </c>
    </row>
    <row r="5" spans="1:15" ht="15" customHeight="1">
      <c r="A5" s="1072"/>
      <c r="B5" s="1181"/>
      <c r="C5" s="1072"/>
      <c r="D5" s="1072"/>
      <c r="E5" s="220" t="s">
        <v>1</v>
      </c>
      <c r="F5" s="220">
        <v>2015</v>
      </c>
      <c r="G5" s="220">
        <v>2016</v>
      </c>
      <c r="H5" s="220">
        <v>2017</v>
      </c>
      <c r="I5" s="220">
        <v>2018</v>
      </c>
      <c r="J5" s="220" t="s">
        <v>4</v>
      </c>
      <c r="K5" s="220">
        <v>2015</v>
      </c>
      <c r="L5" s="220">
        <v>2016</v>
      </c>
      <c r="M5" s="220">
        <v>2017</v>
      </c>
      <c r="N5" s="220">
        <v>2018</v>
      </c>
      <c r="O5" s="1072"/>
    </row>
    <row r="6" spans="1:15" ht="10.5" customHeight="1">
      <c r="A6" s="334">
        <v>1</v>
      </c>
      <c r="B6" s="336">
        <v>2</v>
      </c>
      <c r="C6" s="334">
        <v>3</v>
      </c>
      <c r="D6" s="334">
        <v>4</v>
      </c>
      <c r="E6" s="334">
        <v>5</v>
      </c>
      <c r="F6" s="334">
        <v>7</v>
      </c>
      <c r="G6" s="334">
        <v>8</v>
      </c>
      <c r="H6" s="334">
        <v>9</v>
      </c>
      <c r="I6" s="334">
        <v>10</v>
      </c>
      <c r="J6" s="334">
        <v>11</v>
      </c>
      <c r="K6" s="334">
        <v>12</v>
      </c>
      <c r="L6" s="334">
        <v>13</v>
      </c>
      <c r="M6" s="334">
        <v>14</v>
      </c>
      <c r="N6" s="334">
        <v>15</v>
      </c>
      <c r="O6" s="334">
        <v>16</v>
      </c>
    </row>
    <row r="7" spans="1:15" ht="24" customHeight="1">
      <c r="A7" s="329"/>
      <c r="B7" s="824" t="s">
        <v>390</v>
      </c>
      <c r="C7" s="824"/>
      <c r="D7" s="824"/>
      <c r="E7" s="824"/>
      <c r="F7" s="824"/>
      <c r="G7" s="824"/>
      <c r="H7" s="824"/>
      <c r="I7" s="824"/>
      <c r="J7" s="824"/>
      <c r="K7" s="824"/>
      <c r="L7" s="824"/>
      <c r="M7" s="824"/>
      <c r="N7" s="824"/>
      <c r="O7" s="824"/>
    </row>
    <row r="8" spans="1:15" ht="15" customHeight="1">
      <c r="A8" s="398" t="s">
        <v>72</v>
      </c>
      <c r="B8" s="1188" t="s">
        <v>391</v>
      </c>
      <c r="C8" s="1188"/>
      <c r="D8" s="1188"/>
      <c r="E8" s="1188"/>
      <c r="F8" s="1188"/>
      <c r="G8" s="1188"/>
      <c r="H8" s="1188"/>
      <c r="I8" s="1188"/>
      <c r="J8" s="1188"/>
      <c r="K8" s="1188"/>
      <c r="L8" s="1188"/>
      <c r="M8" s="1188"/>
      <c r="N8" s="1188"/>
      <c r="O8" s="1189"/>
    </row>
    <row r="9" spans="1:15" ht="23.25" customHeight="1">
      <c r="A9" s="1190" t="s">
        <v>10</v>
      </c>
      <c r="B9" s="1077" t="s">
        <v>392</v>
      </c>
      <c r="C9" s="1193" t="s">
        <v>162</v>
      </c>
      <c r="D9" s="290" t="s">
        <v>393</v>
      </c>
      <c r="E9" s="429">
        <f>E10</f>
        <v>14144.179999999998</v>
      </c>
      <c r="F9" s="429">
        <f>F10</f>
        <v>14144.179999999998</v>
      </c>
      <c r="G9" s="332">
        <f>G10</f>
        <v>0</v>
      </c>
      <c r="H9" s="332">
        <f>H10</f>
        <v>0</v>
      </c>
      <c r="I9" s="332">
        <f>I10</f>
        <v>0</v>
      </c>
      <c r="J9" s="290"/>
      <c r="K9" s="290"/>
      <c r="L9" s="290"/>
      <c r="M9" s="290"/>
      <c r="N9" s="290"/>
      <c r="O9" s="290"/>
    </row>
    <row r="10" spans="1:15" ht="24" customHeight="1">
      <c r="A10" s="1191"/>
      <c r="B10" s="1192"/>
      <c r="C10" s="1194"/>
      <c r="D10" s="1195" t="s">
        <v>5</v>
      </c>
      <c r="E10" s="1197">
        <f>SUM(F10:I10)</f>
        <v>14144.179999999998</v>
      </c>
      <c r="F10" s="1199">
        <f>14314.3-170.12</f>
        <v>14144.179999999998</v>
      </c>
      <c r="G10" s="1201">
        <v>0</v>
      </c>
      <c r="H10" s="1201">
        <v>0</v>
      </c>
      <c r="I10" s="1201">
        <v>0</v>
      </c>
      <c r="J10" s="349" t="s">
        <v>394</v>
      </c>
      <c r="K10" s="399">
        <v>100</v>
      </c>
      <c r="L10" s="399">
        <v>0</v>
      </c>
      <c r="M10" s="399">
        <v>0</v>
      </c>
      <c r="N10" s="399">
        <v>0</v>
      </c>
      <c r="O10" s="1079" t="s">
        <v>395</v>
      </c>
    </row>
    <row r="11" spans="1:15" ht="34.5" customHeight="1">
      <c r="A11" s="1191"/>
      <c r="B11" s="1192"/>
      <c r="C11" s="1194"/>
      <c r="D11" s="1195"/>
      <c r="E11" s="1197"/>
      <c r="F11" s="1199"/>
      <c r="G11" s="1201"/>
      <c r="H11" s="1201"/>
      <c r="I11" s="1201"/>
      <c r="J11" s="349" t="s">
        <v>396</v>
      </c>
      <c r="K11" s="330" t="s">
        <v>397</v>
      </c>
      <c r="L11" s="330">
        <v>0</v>
      </c>
      <c r="M11" s="330">
        <v>0</v>
      </c>
      <c r="N11" s="330">
        <v>0</v>
      </c>
      <c r="O11" s="1079"/>
    </row>
    <row r="12" spans="1:15" ht="15" customHeight="1" thickBot="1">
      <c r="A12" s="1191"/>
      <c r="B12" s="1192"/>
      <c r="C12" s="1194"/>
      <c r="D12" s="1196"/>
      <c r="E12" s="1198"/>
      <c r="F12" s="1200"/>
      <c r="G12" s="1202"/>
      <c r="H12" s="1202"/>
      <c r="I12" s="1202"/>
      <c r="J12" s="349" t="s">
        <v>398</v>
      </c>
      <c r="K12" s="399">
        <v>100</v>
      </c>
      <c r="L12" s="399">
        <v>0</v>
      </c>
      <c r="M12" s="399">
        <v>0</v>
      </c>
      <c r="N12" s="399">
        <v>0</v>
      </c>
      <c r="O12" s="1079"/>
    </row>
    <row r="13" spans="1:15" ht="11.25" customHeight="1">
      <c r="A13" s="740"/>
      <c r="B13" s="1203" t="s">
        <v>23</v>
      </c>
      <c r="C13" s="1205"/>
      <c r="D13" s="1207" t="s">
        <v>393</v>
      </c>
      <c r="E13" s="1209">
        <f>SUM(F13:I14)</f>
        <v>14144.179999999998</v>
      </c>
      <c r="F13" s="1209">
        <f>SUM(F15:F15)</f>
        <v>14144.179999999998</v>
      </c>
      <c r="G13" s="1209">
        <f>SUM(G15:G15)</f>
        <v>0</v>
      </c>
      <c r="H13" s="1209">
        <f>SUM(H15:H15)</f>
        <v>0</v>
      </c>
      <c r="I13" s="1211">
        <f>SUM(I15:I15)</f>
        <v>0</v>
      </c>
      <c r="J13" s="1213"/>
      <c r="K13" s="740"/>
      <c r="L13" s="740"/>
      <c r="M13" s="740"/>
      <c r="N13" s="740"/>
      <c r="O13" s="740"/>
    </row>
    <row r="14" spans="1:15" ht="11.25" customHeight="1">
      <c r="A14" s="740"/>
      <c r="B14" s="1203"/>
      <c r="C14" s="1205"/>
      <c r="D14" s="1208"/>
      <c r="E14" s="1210"/>
      <c r="F14" s="1210"/>
      <c r="G14" s="1210"/>
      <c r="H14" s="1210"/>
      <c r="I14" s="1212"/>
      <c r="J14" s="1213"/>
      <c r="K14" s="740"/>
      <c r="L14" s="740"/>
      <c r="M14" s="740"/>
      <c r="N14" s="740"/>
      <c r="O14" s="740"/>
    </row>
    <row r="15" spans="1:15" ht="11.25" customHeight="1">
      <c r="A15" s="740"/>
      <c r="B15" s="1203"/>
      <c r="C15" s="1205"/>
      <c r="D15" s="400" t="s">
        <v>5</v>
      </c>
      <c r="E15" s="432">
        <f>SUM(E10)</f>
        <v>14144.179999999998</v>
      </c>
      <c r="F15" s="432">
        <f>SUM(F10)</f>
        <v>14144.179999999998</v>
      </c>
      <c r="G15" s="432">
        <f>SUM(G10)</f>
        <v>0</v>
      </c>
      <c r="H15" s="432">
        <f>SUM(H10)</f>
        <v>0</v>
      </c>
      <c r="I15" s="433">
        <f>SUM(I10)</f>
        <v>0</v>
      </c>
      <c r="J15" s="1213"/>
      <c r="K15" s="740"/>
      <c r="L15" s="740"/>
      <c r="M15" s="740"/>
      <c r="N15" s="740"/>
      <c r="O15" s="740"/>
    </row>
    <row r="16" spans="1:15" ht="11.25" customHeight="1" thickBot="1">
      <c r="A16" s="835"/>
      <c r="B16" s="1204"/>
      <c r="C16" s="1206"/>
      <c r="D16" s="401" t="s">
        <v>6</v>
      </c>
      <c r="E16" s="434">
        <v>0</v>
      </c>
      <c r="F16" s="434">
        <v>0</v>
      </c>
      <c r="G16" s="434">
        <v>0</v>
      </c>
      <c r="H16" s="434">
        <v>0</v>
      </c>
      <c r="I16" s="435">
        <v>0</v>
      </c>
      <c r="J16" s="1214"/>
      <c r="K16" s="835"/>
      <c r="L16" s="835"/>
      <c r="M16" s="835"/>
      <c r="N16" s="835"/>
      <c r="O16" s="835"/>
    </row>
    <row r="17" spans="1:15" ht="12.75" customHeight="1">
      <c r="A17" s="402" t="s">
        <v>24</v>
      </c>
      <c r="B17" s="1215" t="s">
        <v>399</v>
      </c>
      <c r="C17" s="1215"/>
      <c r="D17" s="1216"/>
      <c r="E17" s="1216"/>
      <c r="F17" s="1216"/>
      <c r="G17" s="1216"/>
      <c r="H17" s="1216"/>
      <c r="I17" s="1216"/>
      <c r="J17" s="1215"/>
      <c r="K17" s="1215"/>
      <c r="L17" s="1215"/>
      <c r="M17" s="1215"/>
      <c r="N17" s="1215"/>
      <c r="O17" s="1215"/>
    </row>
    <row r="18" spans="1:15" ht="22.5" customHeight="1">
      <c r="A18" s="1196" t="s">
        <v>26</v>
      </c>
      <c r="B18" s="852" t="s">
        <v>400</v>
      </c>
      <c r="C18" s="761" t="s">
        <v>162</v>
      </c>
      <c r="D18" s="290" t="s">
        <v>393</v>
      </c>
      <c r="E18" s="436">
        <f>E19</f>
        <v>1812.86</v>
      </c>
      <c r="F18" s="436">
        <f>F19</f>
        <v>1812.86</v>
      </c>
      <c r="G18" s="436">
        <f>G19</f>
        <v>0</v>
      </c>
      <c r="H18" s="436">
        <f>H19</f>
        <v>0</v>
      </c>
      <c r="I18" s="436">
        <f>I19</f>
        <v>0</v>
      </c>
      <c r="J18" s="403"/>
      <c r="K18" s="403"/>
      <c r="L18" s="403"/>
      <c r="M18" s="403"/>
      <c r="N18" s="403"/>
      <c r="O18" s="403"/>
    </row>
    <row r="19" spans="1:15" ht="12.75" customHeight="1">
      <c r="A19" s="1217"/>
      <c r="B19" s="1219"/>
      <c r="C19" s="1221"/>
      <c r="D19" s="1196" t="s">
        <v>5</v>
      </c>
      <c r="E19" s="1198">
        <f>SUM(F19:I19)</f>
        <v>1812.86</v>
      </c>
      <c r="F19" s="1198">
        <f>1836.8-24+0.06</f>
        <v>1812.86</v>
      </c>
      <c r="G19" s="1198">
        <v>0</v>
      </c>
      <c r="H19" s="1198">
        <v>0</v>
      </c>
      <c r="I19" s="1198">
        <v>0</v>
      </c>
      <c r="J19" s="1225" t="s">
        <v>401</v>
      </c>
      <c r="K19" s="1226">
        <v>100</v>
      </c>
      <c r="L19" s="1226">
        <v>0</v>
      </c>
      <c r="M19" s="1226">
        <v>0</v>
      </c>
      <c r="N19" s="1226">
        <v>0</v>
      </c>
      <c r="O19" s="1079" t="s">
        <v>395</v>
      </c>
    </row>
    <row r="20" spans="1:15" ht="11.25" customHeight="1">
      <c r="A20" s="1217"/>
      <c r="B20" s="1219"/>
      <c r="C20" s="1221"/>
      <c r="D20" s="1223"/>
      <c r="E20" s="1224"/>
      <c r="F20" s="1224"/>
      <c r="G20" s="1224"/>
      <c r="H20" s="1224"/>
      <c r="I20" s="1224"/>
      <c r="J20" s="1225"/>
      <c r="K20" s="827"/>
      <c r="L20" s="827"/>
      <c r="M20" s="827"/>
      <c r="N20" s="827"/>
      <c r="O20" s="1079"/>
    </row>
    <row r="21" spans="1:15" ht="24.75" customHeight="1" thickBot="1">
      <c r="A21" s="1218"/>
      <c r="B21" s="1220"/>
      <c r="C21" s="1222"/>
      <c r="D21" s="1223"/>
      <c r="E21" s="1224"/>
      <c r="F21" s="1224"/>
      <c r="G21" s="1224"/>
      <c r="H21" s="1224"/>
      <c r="I21" s="1224"/>
      <c r="J21" s="404" t="s">
        <v>402</v>
      </c>
      <c r="K21" s="399">
        <v>100</v>
      </c>
      <c r="L21" s="399">
        <v>0</v>
      </c>
      <c r="M21" s="399">
        <v>0</v>
      </c>
      <c r="N21" s="399">
        <v>0</v>
      </c>
      <c r="O21" s="1079"/>
    </row>
    <row r="22" spans="1:15" ht="10.5" customHeight="1">
      <c r="A22" s="730"/>
      <c r="B22" s="1227" t="s">
        <v>43</v>
      </c>
      <c r="C22" s="825"/>
      <c r="D22" s="405" t="s">
        <v>11</v>
      </c>
      <c r="E22" s="1209">
        <f>SUM(F22:I22)</f>
        <v>1812.86</v>
      </c>
      <c r="F22" s="1209">
        <f>SUM(F24:F24)</f>
        <v>1812.86</v>
      </c>
      <c r="G22" s="1209">
        <f>SUM(G24:G24)</f>
        <v>0</v>
      </c>
      <c r="H22" s="1209">
        <f>SUM(H24:H24)</f>
        <v>0</v>
      </c>
      <c r="I22" s="1211">
        <f>SUM(I24:I24)</f>
        <v>0</v>
      </c>
      <c r="J22" s="1118"/>
      <c r="K22" s="730"/>
      <c r="L22" s="730"/>
      <c r="M22" s="730"/>
      <c r="N22" s="730"/>
      <c r="O22" s="730"/>
    </row>
    <row r="23" spans="1:15" ht="10.5" customHeight="1">
      <c r="A23" s="740"/>
      <c r="B23" s="1203"/>
      <c r="C23" s="1205"/>
      <c r="D23" s="406" t="s">
        <v>12</v>
      </c>
      <c r="E23" s="1210"/>
      <c r="F23" s="1210"/>
      <c r="G23" s="1210"/>
      <c r="H23" s="1210"/>
      <c r="I23" s="1212"/>
      <c r="J23" s="1213"/>
      <c r="K23" s="740"/>
      <c r="L23" s="740"/>
      <c r="M23" s="740"/>
      <c r="N23" s="740"/>
      <c r="O23" s="740"/>
    </row>
    <row r="24" spans="1:15" ht="15" customHeight="1">
      <c r="A24" s="740"/>
      <c r="B24" s="1203"/>
      <c r="C24" s="1205"/>
      <c r="D24" s="400" t="s">
        <v>5</v>
      </c>
      <c r="E24" s="432">
        <f>SUM(E19)</f>
        <v>1812.86</v>
      </c>
      <c r="F24" s="432">
        <f>SUM(F19)</f>
        <v>1812.86</v>
      </c>
      <c r="G24" s="432">
        <f>SUM(G19)</f>
        <v>0</v>
      </c>
      <c r="H24" s="432">
        <f>SUM(H19)</f>
        <v>0</v>
      </c>
      <c r="I24" s="433">
        <f>SUM(I19)</f>
        <v>0</v>
      </c>
      <c r="J24" s="1213"/>
      <c r="K24" s="740"/>
      <c r="L24" s="740"/>
      <c r="M24" s="740"/>
      <c r="N24" s="740"/>
      <c r="O24" s="740"/>
    </row>
    <row r="25" spans="1:15" ht="15" customHeight="1" thickBot="1">
      <c r="A25" s="835"/>
      <c r="B25" s="1204"/>
      <c r="C25" s="1206"/>
      <c r="D25" s="407" t="s">
        <v>6</v>
      </c>
      <c r="E25" s="408">
        <v>0</v>
      </c>
      <c r="F25" s="408">
        <v>0</v>
      </c>
      <c r="G25" s="408">
        <v>0</v>
      </c>
      <c r="H25" s="408">
        <v>0</v>
      </c>
      <c r="I25" s="409">
        <v>0</v>
      </c>
      <c r="J25" s="1214"/>
      <c r="K25" s="835"/>
      <c r="L25" s="835"/>
      <c r="M25" s="835"/>
      <c r="N25" s="835"/>
      <c r="O25" s="835"/>
    </row>
    <row r="26" spans="1:15" s="411" customFormat="1" ht="12" customHeight="1">
      <c r="A26" s="1228"/>
      <c r="B26" s="1231" t="s">
        <v>13</v>
      </c>
      <c r="C26" s="1099"/>
      <c r="D26" s="410" t="s">
        <v>11</v>
      </c>
      <c r="E26" s="793">
        <f>SUM(E28:E28)</f>
        <v>15957.039999999999</v>
      </c>
      <c r="F26" s="793">
        <f>SUM(F28:F28)</f>
        <v>15957.039999999999</v>
      </c>
      <c r="G26" s="810">
        <f>SUM(G28:G28)</f>
        <v>0</v>
      </c>
      <c r="H26" s="810">
        <f>SUM(H28:H28)</f>
        <v>0</v>
      </c>
      <c r="I26" s="812">
        <f>SUM(I28:I28)</f>
        <v>0</v>
      </c>
      <c r="J26" s="1118"/>
      <c r="K26" s="1228"/>
      <c r="L26" s="1228"/>
      <c r="M26" s="1228"/>
      <c r="N26" s="1228"/>
      <c r="O26" s="1228"/>
    </row>
    <row r="27" spans="1:15" s="411" customFormat="1" ht="12" customHeight="1">
      <c r="A27" s="1229"/>
      <c r="B27" s="1232"/>
      <c r="C27" s="1233"/>
      <c r="D27" s="412" t="s">
        <v>12</v>
      </c>
      <c r="E27" s="1234"/>
      <c r="F27" s="1234"/>
      <c r="G27" s="811"/>
      <c r="H27" s="811"/>
      <c r="I27" s="813"/>
      <c r="J27" s="1213"/>
      <c r="K27" s="1229"/>
      <c r="L27" s="1229"/>
      <c r="M27" s="1229"/>
      <c r="N27" s="1229"/>
      <c r="O27" s="1229"/>
    </row>
    <row r="28" spans="1:15" s="411" customFormat="1" ht="12" customHeight="1">
      <c r="A28" s="1229"/>
      <c r="B28" s="1232"/>
      <c r="C28" s="1233"/>
      <c r="D28" s="412" t="s">
        <v>5</v>
      </c>
      <c r="E28" s="428">
        <f>SUM(F28:I28)</f>
        <v>15957.039999999999</v>
      </c>
      <c r="F28" s="428">
        <f>SUM(F15+F24)</f>
        <v>15957.039999999999</v>
      </c>
      <c r="G28" s="332">
        <f>SUM(G15+G24)</f>
        <v>0</v>
      </c>
      <c r="H28" s="332">
        <f>SUM(H15+H24)</f>
        <v>0</v>
      </c>
      <c r="I28" s="333">
        <f>SUM(I15+I24)</f>
        <v>0</v>
      </c>
      <c r="J28" s="1213"/>
      <c r="K28" s="1229"/>
      <c r="L28" s="1229"/>
      <c r="M28" s="1229"/>
      <c r="N28" s="1229"/>
      <c r="O28" s="1229"/>
    </row>
    <row r="29" spans="1:15" s="411" customFormat="1" ht="12" customHeight="1" thickBot="1">
      <c r="A29" s="1230"/>
      <c r="B29" s="833"/>
      <c r="C29" s="1101"/>
      <c r="D29" s="413" t="s">
        <v>6</v>
      </c>
      <c r="E29" s="320">
        <v>0</v>
      </c>
      <c r="F29" s="320">
        <v>0</v>
      </c>
      <c r="G29" s="320">
        <v>0</v>
      </c>
      <c r="H29" s="320">
        <v>0</v>
      </c>
      <c r="I29" s="321">
        <v>0</v>
      </c>
      <c r="J29" s="1214"/>
      <c r="K29" s="1230"/>
      <c r="L29" s="1230"/>
      <c r="M29" s="1230"/>
      <c r="N29" s="1230"/>
      <c r="O29" s="1230"/>
    </row>
  </sheetData>
  <sheetProtection/>
  <mergeCells count="80">
    <mergeCell ref="M26:M29"/>
    <mergeCell ref="N26:N29"/>
    <mergeCell ref="O26:O29"/>
    <mergeCell ref="G26:G27"/>
    <mergeCell ref="H26:H27"/>
    <mergeCell ref="I26:I27"/>
    <mergeCell ref="J26:J29"/>
    <mergeCell ref="K26:K29"/>
    <mergeCell ref="L26:L29"/>
    <mergeCell ref="K22:K25"/>
    <mergeCell ref="L22:L25"/>
    <mergeCell ref="M22:M25"/>
    <mergeCell ref="N22:N25"/>
    <mergeCell ref="O22:O25"/>
    <mergeCell ref="A26:A29"/>
    <mergeCell ref="B26:B29"/>
    <mergeCell ref="C26:C29"/>
    <mergeCell ref="E26:E27"/>
    <mergeCell ref="F26:F27"/>
    <mergeCell ref="O19:O21"/>
    <mergeCell ref="A22:A25"/>
    <mergeCell ref="B22:B25"/>
    <mergeCell ref="C22:C25"/>
    <mergeCell ref="E22:E23"/>
    <mergeCell ref="F22:F23"/>
    <mergeCell ref="G22:G23"/>
    <mergeCell ref="H22:H23"/>
    <mergeCell ref="I22:I23"/>
    <mergeCell ref="J22:J25"/>
    <mergeCell ref="I19:I21"/>
    <mergeCell ref="J19:J20"/>
    <mergeCell ref="K19:K20"/>
    <mergeCell ref="L19:L20"/>
    <mergeCell ref="M19:M20"/>
    <mergeCell ref="N19:N20"/>
    <mergeCell ref="O13:O16"/>
    <mergeCell ref="B17:O17"/>
    <mergeCell ref="A18:A21"/>
    <mergeCell ref="B18:B21"/>
    <mergeCell ref="C18:C21"/>
    <mergeCell ref="D19:D21"/>
    <mergeCell ref="E19:E21"/>
    <mergeCell ref="F19:F21"/>
    <mergeCell ref="G19:G21"/>
    <mergeCell ref="H19:H21"/>
    <mergeCell ref="I13:I14"/>
    <mergeCell ref="J13:J16"/>
    <mergeCell ref="K13:K16"/>
    <mergeCell ref="L13:L16"/>
    <mergeCell ref="M13:M16"/>
    <mergeCell ref="N13:N16"/>
    <mergeCell ref="I10:I12"/>
    <mergeCell ref="O10:O12"/>
    <mergeCell ref="A13:A16"/>
    <mergeCell ref="B13:B16"/>
    <mergeCell ref="C13:C16"/>
    <mergeCell ref="D13:D14"/>
    <mergeCell ref="E13:E14"/>
    <mergeCell ref="F13:F14"/>
    <mergeCell ref="G13:G14"/>
    <mergeCell ref="H13:H14"/>
    <mergeCell ref="B7:O7"/>
    <mergeCell ref="B8:O8"/>
    <mergeCell ref="A9:A12"/>
    <mergeCell ref="B9:B12"/>
    <mergeCell ref="C9:C12"/>
    <mergeCell ref="D10:D12"/>
    <mergeCell ref="E10:E12"/>
    <mergeCell ref="F10:F12"/>
    <mergeCell ref="G10:G12"/>
    <mergeCell ref="H10:H12"/>
    <mergeCell ref="F1:O1"/>
    <mergeCell ref="A2:O2"/>
    <mergeCell ref="A4:A5"/>
    <mergeCell ref="B4:B5"/>
    <mergeCell ref="C4:C5"/>
    <mergeCell ref="D4:D5"/>
    <mergeCell ref="E4:I4"/>
    <mergeCell ref="J4:N4"/>
    <mergeCell ref="O4:O5"/>
  </mergeCells>
  <printOptions horizontalCentered="1"/>
  <pageMargins left="0.7086614173228347" right="0.5" top="0.56" bottom="0.6" header="0.31496062992125984" footer="0.31496062992125984"/>
  <pageSetup fitToHeight="0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67"/>
  <sheetViews>
    <sheetView zoomScalePageLayoutView="0" workbookViewId="0" topLeftCell="A1">
      <pane ySplit="6" topLeftCell="A55" activePane="bottomLeft" state="frozen"/>
      <selection pane="topLeft" activeCell="R2" sqref="R2"/>
      <selection pane="bottomLeft" activeCell="I59" sqref="I59:I60"/>
    </sheetView>
  </sheetViews>
  <sheetFormatPr defaultColWidth="19.57421875" defaultRowHeight="18.75" customHeight="1"/>
  <cols>
    <col min="1" max="1" width="5.421875" style="233" customWidth="1"/>
    <col min="2" max="2" width="25.140625" style="233" customWidth="1"/>
    <col min="3" max="3" width="8.8515625" style="325" customWidth="1"/>
    <col min="4" max="5" width="8.00390625" style="325" customWidth="1"/>
    <col min="6" max="7" width="7.421875" style="325" customWidth="1"/>
    <col min="8" max="10" width="7.8515625" style="325" customWidth="1"/>
    <col min="11" max="11" width="29.00390625" style="233" customWidth="1"/>
    <col min="12" max="16" width="4.421875" style="233" customWidth="1"/>
    <col min="17" max="17" width="19.57421875" style="233" customWidth="1"/>
    <col min="18" max="16384" width="19.57421875" style="233" customWidth="1"/>
  </cols>
  <sheetData>
    <row r="1" spans="8:17" ht="57.75" customHeight="1">
      <c r="H1" s="1235" t="s">
        <v>470</v>
      </c>
      <c r="I1" s="1235"/>
      <c r="J1" s="1235"/>
      <c r="K1" s="1235"/>
      <c r="L1" s="1235"/>
      <c r="M1" s="1235"/>
      <c r="N1" s="1235"/>
      <c r="O1" s="1235"/>
      <c r="P1" s="1235"/>
      <c r="Q1" s="1235"/>
    </row>
    <row r="2" spans="1:17" ht="39" customHeight="1">
      <c r="A2" s="1069" t="s">
        <v>388</v>
      </c>
      <c r="B2" s="1069"/>
      <c r="C2" s="1069"/>
      <c r="D2" s="1069"/>
      <c r="E2" s="1069"/>
      <c r="F2" s="1069"/>
      <c r="G2" s="1069"/>
      <c r="H2" s="1069"/>
      <c r="I2" s="1069"/>
      <c r="J2" s="1069"/>
      <c r="K2" s="1069"/>
      <c r="L2" s="1069"/>
      <c r="M2" s="1069"/>
      <c r="N2" s="1069"/>
      <c r="O2" s="1069"/>
      <c r="P2" s="1069"/>
      <c r="Q2" s="1069"/>
    </row>
    <row r="3" ht="12.75" customHeight="1">
      <c r="Q3" s="394" t="s">
        <v>7</v>
      </c>
    </row>
    <row r="4" spans="1:17" ht="42.75" customHeight="1">
      <c r="A4" s="1070" t="s">
        <v>16</v>
      </c>
      <c r="B4" s="1071" t="s">
        <v>15</v>
      </c>
      <c r="C4" s="1070" t="s">
        <v>8</v>
      </c>
      <c r="D4" s="1070" t="s">
        <v>9</v>
      </c>
      <c r="E4" s="1073" t="s">
        <v>0</v>
      </c>
      <c r="F4" s="1074"/>
      <c r="G4" s="1074"/>
      <c r="H4" s="1074"/>
      <c r="I4" s="1074"/>
      <c r="J4" s="1075"/>
      <c r="K4" s="1073" t="s">
        <v>387</v>
      </c>
      <c r="L4" s="1074"/>
      <c r="M4" s="1074"/>
      <c r="N4" s="1074"/>
      <c r="O4" s="1074"/>
      <c r="P4" s="1075"/>
      <c r="Q4" s="1071" t="s">
        <v>14</v>
      </c>
    </row>
    <row r="5" spans="1:17" ht="12" customHeight="1">
      <c r="A5" s="1070"/>
      <c r="B5" s="1072"/>
      <c r="C5" s="1070"/>
      <c r="D5" s="1070"/>
      <c r="E5" s="220" t="s">
        <v>1</v>
      </c>
      <c r="F5" s="220" t="s">
        <v>2</v>
      </c>
      <c r="G5" s="220" t="s">
        <v>3</v>
      </c>
      <c r="H5" s="220" t="s">
        <v>57</v>
      </c>
      <c r="I5" s="220" t="s">
        <v>155</v>
      </c>
      <c r="J5" s="220" t="s">
        <v>156</v>
      </c>
      <c r="K5" s="220" t="s">
        <v>4</v>
      </c>
      <c r="L5" s="220">
        <v>2014</v>
      </c>
      <c r="M5" s="220">
        <v>2015</v>
      </c>
      <c r="N5" s="220">
        <v>2016</v>
      </c>
      <c r="O5" s="220">
        <v>2017</v>
      </c>
      <c r="P5" s="220">
        <v>2018</v>
      </c>
      <c r="Q5" s="1072"/>
    </row>
    <row r="6" spans="1:17" ht="13.5" customHeight="1">
      <c r="A6" s="334">
        <v>1</v>
      </c>
      <c r="B6" s="334">
        <v>2</v>
      </c>
      <c r="C6" s="334">
        <v>3</v>
      </c>
      <c r="D6" s="334">
        <v>4</v>
      </c>
      <c r="E6" s="334">
        <v>5</v>
      </c>
      <c r="F6" s="334">
        <v>6</v>
      </c>
      <c r="G6" s="334">
        <v>7</v>
      </c>
      <c r="H6" s="334">
        <v>8</v>
      </c>
      <c r="I6" s="334">
        <v>9</v>
      </c>
      <c r="J6" s="334">
        <v>10</v>
      </c>
      <c r="K6" s="334">
        <v>11</v>
      </c>
      <c r="L6" s="334">
        <v>12</v>
      </c>
      <c r="M6" s="334">
        <v>13</v>
      </c>
      <c r="N6" s="334">
        <v>14</v>
      </c>
      <c r="O6" s="334">
        <v>15</v>
      </c>
      <c r="P6" s="334">
        <v>16</v>
      </c>
      <c r="Q6" s="334">
        <v>17</v>
      </c>
    </row>
    <row r="7" spans="1:17" ht="14.25" customHeight="1">
      <c r="A7" s="334"/>
      <c r="B7" s="823" t="s">
        <v>386</v>
      </c>
      <c r="C7" s="823"/>
      <c r="D7" s="823"/>
      <c r="E7" s="823"/>
      <c r="F7" s="823"/>
      <c r="G7" s="823"/>
      <c r="H7" s="823"/>
      <c r="I7" s="823"/>
      <c r="J7" s="823"/>
      <c r="K7" s="823"/>
      <c r="L7" s="823"/>
      <c r="M7" s="823"/>
      <c r="N7" s="823"/>
      <c r="O7" s="823"/>
      <c r="P7" s="823"/>
      <c r="Q7" s="823"/>
    </row>
    <row r="8" spans="1:17" ht="13.5" customHeight="1">
      <c r="A8" s="329"/>
      <c r="B8" s="1236" t="s">
        <v>385</v>
      </c>
      <c r="C8" s="1237"/>
      <c r="D8" s="1237"/>
      <c r="E8" s="1237"/>
      <c r="F8" s="1237"/>
      <c r="G8" s="1237"/>
      <c r="H8" s="1237"/>
      <c r="I8" s="1237"/>
      <c r="J8" s="1237"/>
      <c r="K8" s="1237"/>
      <c r="L8" s="1237"/>
      <c r="M8" s="1237"/>
      <c r="N8" s="1237"/>
      <c r="O8" s="1237"/>
      <c r="P8" s="1237"/>
      <c r="Q8" s="1238"/>
    </row>
    <row r="9" spans="1:17" ht="36" customHeight="1">
      <c r="A9" s="1196" t="s">
        <v>10</v>
      </c>
      <c r="B9" s="1240" t="s">
        <v>384</v>
      </c>
      <c r="C9" s="1242" t="s">
        <v>42</v>
      </c>
      <c r="D9" s="381" t="s">
        <v>310</v>
      </c>
      <c r="E9" s="366">
        <f>E10</f>
        <v>2530.4</v>
      </c>
      <c r="F9" s="366">
        <f>F10</f>
        <v>830.4</v>
      </c>
      <c r="G9" s="366">
        <f>G10</f>
        <v>1700</v>
      </c>
      <c r="H9" s="366">
        <v>0</v>
      </c>
      <c r="I9" s="366">
        <f>I10</f>
        <v>0</v>
      </c>
      <c r="J9" s="366">
        <f>J10</f>
        <v>0</v>
      </c>
      <c r="K9" s="351" t="s">
        <v>383</v>
      </c>
      <c r="L9" s="356">
        <v>100</v>
      </c>
      <c r="M9" s="356">
        <v>100</v>
      </c>
      <c r="N9" s="356">
        <v>0</v>
      </c>
      <c r="O9" s="356">
        <v>0</v>
      </c>
      <c r="P9" s="356">
        <v>0</v>
      </c>
      <c r="Q9" s="761" t="s">
        <v>382</v>
      </c>
    </row>
    <row r="10" spans="1:17" ht="35.25" customHeight="1">
      <c r="A10" s="1223"/>
      <c r="B10" s="1241"/>
      <c r="C10" s="1243"/>
      <c r="D10" s="377" t="s">
        <v>5</v>
      </c>
      <c r="E10" s="358">
        <f>F10+G10+H10+I10+J10</f>
        <v>2530.4</v>
      </c>
      <c r="F10" s="376">
        <f>795.4+35</f>
        <v>830.4</v>
      </c>
      <c r="G10" s="461">
        <f>1239+10+451</f>
        <v>1700</v>
      </c>
      <c r="H10" s="376">
        <v>0</v>
      </c>
      <c r="I10" s="376">
        <v>0</v>
      </c>
      <c r="J10" s="376">
        <v>0</v>
      </c>
      <c r="K10" s="852" t="s">
        <v>381</v>
      </c>
      <c r="L10" s="1196">
        <v>0</v>
      </c>
      <c r="M10" s="1196">
        <v>0</v>
      </c>
      <c r="N10" s="1196">
        <v>0</v>
      </c>
      <c r="O10" s="1196">
        <v>0</v>
      </c>
      <c r="P10" s="1196">
        <v>0</v>
      </c>
      <c r="Q10" s="774"/>
    </row>
    <row r="11" spans="1:17" ht="35.25" customHeight="1" thickBot="1">
      <c r="A11" s="1239"/>
      <c r="B11" s="393"/>
      <c r="C11" s="392"/>
      <c r="D11" s="391"/>
      <c r="E11" s="391"/>
      <c r="F11" s="391"/>
      <c r="G11" s="391"/>
      <c r="H11" s="391"/>
      <c r="I11" s="391"/>
      <c r="J11" s="391"/>
      <c r="K11" s="1081"/>
      <c r="L11" s="1239"/>
      <c r="M11" s="1239"/>
      <c r="N11" s="1239"/>
      <c r="O11" s="1239"/>
      <c r="P11" s="1239"/>
      <c r="Q11" s="775"/>
    </row>
    <row r="12" spans="1:17" ht="24" customHeight="1" thickBot="1">
      <c r="A12" s="390"/>
      <c r="B12" s="338" t="s">
        <v>380</v>
      </c>
      <c r="C12" s="389"/>
      <c r="D12" s="354" t="s">
        <v>310</v>
      </c>
      <c r="E12" s="388">
        <f>F12+G12+H12+I12+J12</f>
        <v>2530.4</v>
      </c>
      <c r="F12" s="388">
        <f>F9</f>
        <v>830.4</v>
      </c>
      <c r="G12" s="388">
        <f>G9</f>
        <v>1700</v>
      </c>
      <c r="H12" s="388">
        <f>H9</f>
        <v>0</v>
      </c>
      <c r="I12" s="388">
        <f>I9</f>
        <v>0</v>
      </c>
      <c r="J12" s="387">
        <f>J9</f>
        <v>0</v>
      </c>
      <c r="K12" s="351"/>
      <c r="L12" s="369"/>
      <c r="M12" s="369"/>
      <c r="N12" s="369"/>
      <c r="O12" s="369"/>
      <c r="P12" s="369"/>
      <c r="Q12" s="386"/>
    </row>
    <row r="13" spans="1:17" ht="11.25" customHeight="1">
      <c r="A13" s="356"/>
      <c r="B13" s="1244" t="s">
        <v>379</v>
      </c>
      <c r="C13" s="1245"/>
      <c r="D13" s="1245"/>
      <c r="E13" s="1245"/>
      <c r="F13" s="1245"/>
      <c r="G13" s="1245"/>
      <c r="H13" s="1245"/>
      <c r="I13" s="1245"/>
      <c r="J13" s="1245"/>
      <c r="K13" s="1245"/>
      <c r="L13" s="1245"/>
      <c r="M13" s="1245"/>
      <c r="N13" s="1245"/>
      <c r="O13" s="1245"/>
      <c r="P13" s="1245"/>
      <c r="Q13" s="1246"/>
    </row>
    <row r="14" spans="1:17" ht="82.5" customHeight="1">
      <c r="A14" s="1196" t="s">
        <v>26</v>
      </c>
      <c r="B14" s="824" t="s">
        <v>378</v>
      </c>
      <c r="C14" s="1196" t="s">
        <v>42</v>
      </c>
      <c r="D14" s="381" t="s">
        <v>310</v>
      </c>
      <c r="E14" s="385">
        <f>F14+G14+H14+I14+J14</f>
        <v>1601.7</v>
      </c>
      <c r="F14" s="385">
        <f>770.7+20</f>
        <v>790.7</v>
      </c>
      <c r="G14" s="385">
        <f>801+10</f>
        <v>811</v>
      </c>
      <c r="H14" s="385">
        <v>0</v>
      </c>
      <c r="I14" s="385">
        <v>0</v>
      </c>
      <c r="J14" s="385">
        <v>0</v>
      </c>
      <c r="K14" s="331" t="s">
        <v>377</v>
      </c>
      <c r="L14" s="356">
        <v>100</v>
      </c>
      <c r="M14" s="356">
        <v>100</v>
      </c>
      <c r="N14" s="356">
        <v>0</v>
      </c>
      <c r="O14" s="356">
        <v>0</v>
      </c>
      <c r="P14" s="356">
        <v>0</v>
      </c>
      <c r="Q14" s="1240" t="s">
        <v>376</v>
      </c>
    </row>
    <row r="15" spans="1:17" ht="27" customHeight="1">
      <c r="A15" s="1247"/>
      <c r="B15" s="1249"/>
      <c r="C15" s="1243"/>
      <c r="D15" s="1196" t="s">
        <v>5</v>
      </c>
      <c r="E15" s="1202">
        <f>F15+G15+H15+I15+J15</f>
        <v>1601.7</v>
      </c>
      <c r="F15" s="1202">
        <f>770.7+20</f>
        <v>790.7</v>
      </c>
      <c r="G15" s="1202">
        <f>801+10</f>
        <v>811</v>
      </c>
      <c r="H15" s="1202">
        <v>0</v>
      </c>
      <c r="I15" s="1202">
        <v>0</v>
      </c>
      <c r="J15" s="1202">
        <v>0</v>
      </c>
      <c r="K15" s="331" t="s">
        <v>375</v>
      </c>
      <c r="L15" s="356">
        <v>95</v>
      </c>
      <c r="M15" s="356">
        <v>95</v>
      </c>
      <c r="N15" s="356">
        <v>0</v>
      </c>
      <c r="O15" s="356">
        <v>0</v>
      </c>
      <c r="P15" s="356">
        <v>0</v>
      </c>
      <c r="Q15" s="1241"/>
    </row>
    <row r="16" spans="1:17" ht="36.75" customHeight="1" thickBot="1">
      <c r="A16" s="1248"/>
      <c r="B16" s="1249"/>
      <c r="C16" s="1243"/>
      <c r="D16" s="1251"/>
      <c r="E16" s="1252"/>
      <c r="F16" s="1252"/>
      <c r="G16" s="1252"/>
      <c r="H16" s="1252"/>
      <c r="I16" s="1252"/>
      <c r="J16" s="1252"/>
      <c r="K16" s="331" t="s">
        <v>374</v>
      </c>
      <c r="L16" s="356" t="s">
        <v>357</v>
      </c>
      <c r="M16" s="356" t="s">
        <v>357</v>
      </c>
      <c r="N16" s="356">
        <v>0</v>
      </c>
      <c r="O16" s="356">
        <v>0</v>
      </c>
      <c r="P16" s="356">
        <v>0</v>
      </c>
      <c r="Q16" s="1250"/>
    </row>
    <row r="17" spans="1:17" ht="30" customHeight="1" thickBot="1">
      <c r="A17" s="355"/>
      <c r="B17" s="331" t="s">
        <v>373</v>
      </c>
      <c r="C17" s="355"/>
      <c r="D17" s="354" t="s">
        <v>310</v>
      </c>
      <c r="E17" s="353">
        <f>SUM(F17:J17)</f>
        <v>1601.7</v>
      </c>
      <c r="F17" s="353">
        <f>F14</f>
        <v>790.7</v>
      </c>
      <c r="G17" s="353">
        <f>G14</f>
        <v>811</v>
      </c>
      <c r="H17" s="353">
        <f>H14</f>
        <v>0</v>
      </c>
      <c r="I17" s="353">
        <f>I14</f>
        <v>0</v>
      </c>
      <c r="J17" s="352">
        <f>J14</f>
        <v>0</v>
      </c>
      <c r="K17" s="351"/>
      <c r="L17" s="350"/>
      <c r="M17" s="350"/>
      <c r="N17" s="350"/>
      <c r="O17" s="350"/>
      <c r="P17" s="350"/>
      <c r="Q17" s="349"/>
    </row>
    <row r="18" spans="1:17" ht="12.75" customHeight="1">
      <c r="A18" s="356"/>
      <c r="B18" s="1253" t="s">
        <v>372</v>
      </c>
      <c r="C18" s="1254"/>
      <c r="D18" s="1254"/>
      <c r="E18" s="1254"/>
      <c r="F18" s="1254"/>
      <c r="G18" s="1254"/>
      <c r="H18" s="1254"/>
      <c r="I18" s="1254"/>
      <c r="J18" s="1254"/>
      <c r="K18" s="1254"/>
      <c r="L18" s="1254"/>
      <c r="M18" s="1254"/>
      <c r="N18" s="1254"/>
      <c r="O18" s="1254"/>
      <c r="P18" s="1254"/>
      <c r="Q18" s="1255"/>
    </row>
    <row r="19" spans="1:17" ht="33.75" customHeight="1">
      <c r="A19" s="1196" t="s">
        <v>30</v>
      </c>
      <c r="B19" s="824" t="s">
        <v>371</v>
      </c>
      <c r="C19" s="1196" t="s">
        <v>42</v>
      </c>
      <c r="D19" s="361" t="s">
        <v>310</v>
      </c>
      <c r="E19" s="366">
        <f>SUM(F19:J19)</f>
        <v>745.3</v>
      </c>
      <c r="F19" s="366">
        <v>365.3</v>
      </c>
      <c r="G19" s="366">
        <v>380</v>
      </c>
      <c r="H19" s="366">
        <v>0</v>
      </c>
      <c r="I19" s="366">
        <v>0</v>
      </c>
      <c r="J19" s="366">
        <v>0</v>
      </c>
      <c r="K19" s="331" t="s">
        <v>370</v>
      </c>
      <c r="L19" s="356">
        <v>100</v>
      </c>
      <c r="M19" s="356">
        <v>100</v>
      </c>
      <c r="N19" s="356">
        <v>0</v>
      </c>
      <c r="O19" s="356">
        <v>0</v>
      </c>
      <c r="P19" s="356">
        <v>0</v>
      </c>
      <c r="Q19" s="1240" t="s">
        <v>350</v>
      </c>
    </row>
    <row r="20" spans="1:17" ht="60" customHeight="1">
      <c r="A20" s="1247"/>
      <c r="B20" s="1249"/>
      <c r="C20" s="1247"/>
      <c r="D20" s="1196" t="s">
        <v>5</v>
      </c>
      <c r="E20" s="1202">
        <f>SUM(F20:J21)</f>
        <v>745.3</v>
      </c>
      <c r="F20" s="1202">
        <v>365.3</v>
      </c>
      <c r="G20" s="1202">
        <v>380</v>
      </c>
      <c r="H20" s="1202">
        <v>0</v>
      </c>
      <c r="I20" s="1202">
        <v>0</v>
      </c>
      <c r="J20" s="1202">
        <v>0</v>
      </c>
      <c r="K20" s="331" t="s">
        <v>369</v>
      </c>
      <c r="L20" s="356">
        <v>25</v>
      </c>
      <c r="M20" s="356">
        <v>50</v>
      </c>
      <c r="N20" s="356">
        <v>0</v>
      </c>
      <c r="O20" s="356">
        <v>0</v>
      </c>
      <c r="P20" s="356">
        <v>0</v>
      </c>
      <c r="Q20" s="1241"/>
    </row>
    <row r="21" spans="1:17" ht="35.25" customHeight="1" thickBot="1">
      <c r="A21" s="1248"/>
      <c r="B21" s="1249"/>
      <c r="C21" s="1247"/>
      <c r="D21" s="1251"/>
      <c r="E21" s="1256"/>
      <c r="F21" s="1256"/>
      <c r="G21" s="1256"/>
      <c r="H21" s="1256"/>
      <c r="I21" s="1256"/>
      <c r="J21" s="1256"/>
      <c r="K21" s="331" t="s">
        <v>368</v>
      </c>
      <c r="L21" s="356" t="s">
        <v>357</v>
      </c>
      <c r="M21" s="356" t="s">
        <v>357</v>
      </c>
      <c r="N21" s="356">
        <v>0</v>
      </c>
      <c r="O21" s="356">
        <v>0</v>
      </c>
      <c r="P21" s="356">
        <v>0</v>
      </c>
      <c r="Q21" s="1250"/>
    </row>
    <row r="22" spans="1:17" ht="24.75" customHeight="1" thickBot="1">
      <c r="A22" s="384"/>
      <c r="B22" s="331" t="s">
        <v>367</v>
      </c>
      <c r="C22" s="355"/>
      <c r="D22" s="354" t="s">
        <v>310</v>
      </c>
      <c r="E22" s="353">
        <f>SUM(F22:J22)</f>
        <v>745.3</v>
      </c>
      <c r="F22" s="353">
        <f>F19</f>
        <v>365.3</v>
      </c>
      <c r="G22" s="353">
        <f>G19</f>
        <v>380</v>
      </c>
      <c r="H22" s="353">
        <f>H19</f>
        <v>0</v>
      </c>
      <c r="I22" s="353">
        <f>I19</f>
        <v>0</v>
      </c>
      <c r="J22" s="352">
        <f>J19</f>
        <v>0</v>
      </c>
      <c r="K22" s="383"/>
      <c r="L22" s="350"/>
      <c r="M22" s="350"/>
      <c r="N22" s="350"/>
      <c r="O22" s="350"/>
      <c r="P22" s="350"/>
      <c r="Q22" s="349"/>
    </row>
    <row r="23" spans="1:17" ht="12.75" customHeight="1">
      <c r="A23" s="382"/>
      <c r="B23" s="1253" t="s">
        <v>366</v>
      </c>
      <c r="C23" s="1254"/>
      <c r="D23" s="1254"/>
      <c r="E23" s="1254"/>
      <c r="F23" s="1254"/>
      <c r="G23" s="1254"/>
      <c r="H23" s="1254"/>
      <c r="I23" s="1254"/>
      <c r="J23" s="1254"/>
      <c r="K23" s="1254"/>
      <c r="L23" s="1254"/>
      <c r="M23" s="1254"/>
      <c r="N23" s="1254"/>
      <c r="O23" s="1254"/>
      <c r="P23" s="1254"/>
      <c r="Q23" s="1255"/>
    </row>
    <row r="24" spans="1:17" ht="39" customHeight="1">
      <c r="A24" s="1196" t="s">
        <v>36</v>
      </c>
      <c r="B24" s="824" t="s">
        <v>365</v>
      </c>
      <c r="C24" s="1196" t="s">
        <v>42</v>
      </c>
      <c r="D24" s="381" t="s">
        <v>310</v>
      </c>
      <c r="E24" s="380">
        <f>SUM(F24:J24)</f>
        <v>755.3</v>
      </c>
      <c r="F24" s="380">
        <v>365.3</v>
      </c>
      <c r="G24" s="380">
        <f>380+10</f>
        <v>390</v>
      </c>
      <c r="H24" s="380">
        <v>0</v>
      </c>
      <c r="I24" s="380">
        <v>0</v>
      </c>
      <c r="J24" s="380">
        <v>0</v>
      </c>
      <c r="K24" s="331" t="s">
        <v>364</v>
      </c>
      <c r="L24" s="357">
        <v>71.6</v>
      </c>
      <c r="M24" s="357">
        <v>72</v>
      </c>
      <c r="N24" s="357">
        <v>0</v>
      </c>
      <c r="O24" s="357">
        <v>0</v>
      </c>
      <c r="P24" s="357">
        <v>0</v>
      </c>
      <c r="Q24" s="1240" t="s">
        <v>350</v>
      </c>
    </row>
    <row r="25" spans="1:17" ht="80.25" customHeight="1">
      <c r="A25" s="1247"/>
      <c r="B25" s="1249"/>
      <c r="C25" s="1247"/>
      <c r="D25" s="379" t="s">
        <v>5</v>
      </c>
      <c r="E25" s="378">
        <f>SUM(F25:J25)</f>
        <v>755.3</v>
      </c>
      <c r="F25" s="378">
        <v>365.3</v>
      </c>
      <c r="G25" s="378">
        <f>380+10</f>
        <v>390</v>
      </c>
      <c r="H25" s="378">
        <v>0</v>
      </c>
      <c r="I25" s="378">
        <v>0</v>
      </c>
      <c r="J25" s="378">
        <v>0</v>
      </c>
      <c r="K25" s="331" t="s">
        <v>363</v>
      </c>
      <c r="L25" s="357">
        <v>90</v>
      </c>
      <c r="M25" s="357">
        <v>90</v>
      </c>
      <c r="N25" s="357">
        <v>0</v>
      </c>
      <c r="O25" s="357">
        <v>0</v>
      </c>
      <c r="P25" s="357">
        <v>0</v>
      </c>
      <c r="Q25" s="1241"/>
    </row>
    <row r="26" spans="1:17" ht="36.75" customHeight="1" thickBot="1">
      <c r="A26" s="1247"/>
      <c r="B26" s="1249"/>
      <c r="C26" s="1247"/>
      <c r="D26" s="375"/>
      <c r="E26" s="374"/>
      <c r="F26" s="374"/>
      <c r="G26" s="374"/>
      <c r="H26" s="374"/>
      <c r="I26" s="374"/>
      <c r="J26" s="374"/>
      <c r="K26" s="331" t="s">
        <v>362</v>
      </c>
      <c r="L26" s="357" t="s">
        <v>357</v>
      </c>
      <c r="M26" s="357" t="s">
        <v>357</v>
      </c>
      <c r="N26" s="357">
        <v>0</v>
      </c>
      <c r="O26" s="357">
        <v>0</v>
      </c>
      <c r="P26" s="357">
        <v>0</v>
      </c>
      <c r="Q26" s="1250"/>
    </row>
    <row r="27" spans="1:17" ht="23.25" customHeight="1" thickBot="1">
      <c r="A27" s="356"/>
      <c r="B27" s="331" t="s">
        <v>361</v>
      </c>
      <c r="C27" s="355"/>
      <c r="D27" s="354" t="s">
        <v>310</v>
      </c>
      <c r="E27" s="353">
        <f>SUM(F27:J27)</f>
        <v>755.3</v>
      </c>
      <c r="F27" s="353">
        <f>F24</f>
        <v>365.3</v>
      </c>
      <c r="G27" s="353">
        <f>G24</f>
        <v>390</v>
      </c>
      <c r="H27" s="353">
        <f>H24</f>
        <v>0</v>
      </c>
      <c r="I27" s="353">
        <f>I24</f>
        <v>0</v>
      </c>
      <c r="J27" s="352">
        <f>J24</f>
        <v>0</v>
      </c>
      <c r="K27" s="351"/>
      <c r="L27" s="350"/>
      <c r="M27" s="350"/>
      <c r="N27" s="350"/>
      <c r="O27" s="350"/>
      <c r="P27" s="350"/>
      <c r="Q27" s="349"/>
    </row>
    <row r="28" spans="1:17" ht="14.25" customHeight="1">
      <c r="A28" s="370"/>
      <c r="B28" s="1253" t="s">
        <v>360</v>
      </c>
      <c r="C28" s="1254"/>
      <c r="D28" s="1254"/>
      <c r="E28" s="1254"/>
      <c r="F28" s="1254"/>
      <c r="G28" s="1254"/>
      <c r="H28" s="1254"/>
      <c r="I28" s="1254"/>
      <c r="J28" s="1254"/>
      <c r="K28" s="1254"/>
      <c r="L28" s="1254"/>
      <c r="M28" s="1254"/>
      <c r="N28" s="1254"/>
      <c r="O28" s="1254"/>
      <c r="P28" s="1254"/>
      <c r="Q28" s="1255"/>
    </row>
    <row r="29" spans="1:17" ht="45.75" customHeight="1">
      <c r="A29" s="1196" t="s">
        <v>39</v>
      </c>
      <c r="B29" s="824" t="s">
        <v>359</v>
      </c>
      <c r="C29" s="1196" t="s">
        <v>42</v>
      </c>
      <c r="D29" s="361" t="s">
        <v>310</v>
      </c>
      <c r="E29" s="366">
        <f>SUM(F29:J29)</f>
        <v>491.6</v>
      </c>
      <c r="F29" s="366">
        <f>182.6+25</f>
        <v>207.6</v>
      </c>
      <c r="G29" s="366">
        <f>190+94</f>
        <v>284</v>
      </c>
      <c r="H29" s="366">
        <v>0</v>
      </c>
      <c r="I29" s="366">
        <v>0</v>
      </c>
      <c r="J29" s="366">
        <v>0</v>
      </c>
      <c r="K29" s="331" t="s">
        <v>358</v>
      </c>
      <c r="L29" s="357" t="s">
        <v>357</v>
      </c>
      <c r="M29" s="357" t="s">
        <v>357</v>
      </c>
      <c r="N29" s="357">
        <v>0</v>
      </c>
      <c r="O29" s="357">
        <v>0</v>
      </c>
      <c r="P29" s="357">
        <v>0</v>
      </c>
      <c r="Q29" s="1240" t="s">
        <v>350</v>
      </c>
    </row>
    <row r="30" spans="1:17" ht="36.75" customHeight="1">
      <c r="A30" s="1247"/>
      <c r="B30" s="1249"/>
      <c r="C30" s="1247"/>
      <c r="D30" s="377" t="s">
        <v>5</v>
      </c>
      <c r="E30" s="376">
        <f>SUM(F30:J30)</f>
        <v>491.6</v>
      </c>
      <c r="F30" s="376">
        <f>182.6+25</f>
        <v>207.6</v>
      </c>
      <c r="G30" s="461">
        <f>190+94</f>
        <v>284</v>
      </c>
      <c r="H30" s="376">
        <v>0</v>
      </c>
      <c r="I30" s="376">
        <v>0</v>
      </c>
      <c r="J30" s="376">
        <v>0</v>
      </c>
      <c r="K30" s="331" t="s">
        <v>356</v>
      </c>
      <c r="L30" s="357">
        <v>8</v>
      </c>
      <c r="M30" s="357">
        <v>5</v>
      </c>
      <c r="N30" s="357">
        <v>0</v>
      </c>
      <c r="O30" s="357">
        <v>0</v>
      </c>
      <c r="P30" s="357">
        <v>0</v>
      </c>
      <c r="Q30" s="1241"/>
    </row>
    <row r="31" spans="1:17" ht="25.5" customHeight="1" thickBot="1">
      <c r="A31" s="1248"/>
      <c r="B31" s="1249"/>
      <c r="C31" s="1247"/>
      <c r="D31" s="375"/>
      <c r="E31" s="374"/>
      <c r="F31" s="374"/>
      <c r="G31" s="374"/>
      <c r="H31" s="374"/>
      <c r="I31" s="374"/>
      <c r="J31" s="374"/>
      <c r="K31" s="331" t="s">
        <v>355</v>
      </c>
      <c r="L31" s="357">
        <v>2</v>
      </c>
      <c r="M31" s="357">
        <v>1</v>
      </c>
      <c r="N31" s="357">
        <v>0</v>
      </c>
      <c r="O31" s="357">
        <v>0</v>
      </c>
      <c r="P31" s="357">
        <v>0</v>
      </c>
      <c r="Q31" s="1250"/>
    </row>
    <row r="32" spans="1:17" ht="22.5" customHeight="1" thickBot="1">
      <c r="A32" s="355"/>
      <c r="B32" s="331" t="s">
        <v>354</v>
      </c>
      <c r="C32" s="355"/>
      <c r="D32" s="354" t="s">
        <v>310</v>
      </c>
      <c r="E32" s="353">
        <f>SUM(F32:J32)</f>
        <v>491.6</v>
      </c>
      <c r="F32" s="353">
        <f>F29</f>
        <v>207.6</v>
      </c>
      <c r="G32" s="353">
        <f>G29</f>
        <v>284</v>
      </c>
      <c r="H32" s="353">
        <f>H29</f>
        <v>0</v>
      </c>
      <c r="I32" s="353">
        <f>I29</f>
        <v>0</v>
      </c>
      <c r="J32" s="352">
        <f>J29</f>
        <v>0</v>
      </c>
      <c r="K32" s="351"/>
      <c r="L32" s="350"/>
      <c r="M32" s="350"/>
      <c r="N32" s="350"/>
      <c r="O32" s="350"/>
      <c r="P32" s="350"/>
      <c r="Q32" s="349"/>
    </row>
    <row r="33" spans="1:17" ht="14.25" customHeight="1">
      <c r="A33" s="356"/>
      <c r="B33" s="1253" t="s">
        <v>353</v>
      </c>
      <c r="C33" s="1254"/>
      <c r="D33" s="1254"/>
      <c r="E33" s="1254"/>
      <c r="F33" s="1254"/>
      <c r="G33" s="1254"/>
      <c r="H33" s="1254"/>
      <c r="I33" s="1254"/>
      <c r="J33" s="1254"/>
      <c r="K33" s="1254"/>
      <c r="L33" s="1254"/>
      <c r="M33" s="1254"/>
      <c r="N33" s="1254"/>
      <c r="O33" s="1254"/>
      <c r="P33" s="1254"/>
      <c r="Q33" s="1255"/>
    </row>
    <row r="34" spans="1:17" ht="35.25" customHeight="1">
      <c r="A34" s="1196" t="s">
        <v>118</v>
      </c>
      <c r="B34" s="824" t="s">
        <v>352</v>
      </c>
      <c r="C34" s="1196" t="s">
        <v>42</v>
      </c>
      <c r="D34" s="361" t="s">
        <v>310</v>
      </c>
      <c r="E34" s="360">
        <f>SUM(F34:J34)</f>
        <v>372.6</v>
      </c>
      <c r="F34" s="360">
        <v>182.6</v>
      </c>
      <c r="G34" s="360">
        <v>190</v>
      </c>
      <c r="H34" s="360">
        <v>0</v>
      </c>
      <c r="I34" s="360">
        <v>0</v>
      </c>
      <c r="J34" s="360">
        <v>0</v>
      </c>
      <c r="K34" s="331" t="s">
        <v>351</v>
      </c>
      <c r="L34" s="357">
        <v>41</v>
      </c>
      <c r="M34" s="357">
        <v>41</v>
      </c>
      <c r="N34" s="357">
        <v>0</v>
      </c>
      <c r="O34" s="357">
        <v>0</v>
      </c>
      <c r="P34" s="357">
        <v>0</v>
      </c>
      <c r="Q34" s="1240" t="s">
        <v>350</v>
      </c>
    </row>
    <row r="35" spans="1:17" ht="36.75" customHeight="1">
      <c r="A35" s="1247"/>
      <c r="B35" s="1249"/>
      <c r="C35" s="1247"/>
      <c r="D35" s="337" t="s">
        <v>5</v>
      </c>
      <c r="E35" s="358">
        <f>SUM(F35:J35)</f>
        <v>372.6</v>
      </c>
      <c r="F35" s="358">
        <v>182.6</v>
      </c>
      <c r="G35" s="358">
        <v>190</v>
      </c>
      <c r="H35" s="358">
        <v>0</v>
      </c>
      <c r="I35" s="358">
        <v>0</v>
      </c>
      <c r="J35" s="358">
        <v>0</v>
      </c>
      <c r="K35" s="331" t="s">
        <v>349</v>
      </c>
      <c r="L35" s="357">
        <v>37</v>
      </c>
      <c r="M35" s="357">
        <v>37</v>
      </c>
      <c r="N35" s="357">
        <v>0</v>
      </c>
      <c r="O35" s="357">
        <v>0</v>
      </c>
      <c r="P35" s="357">
        <v>0</v>
      </c>
      <c r="Q35" s="1241"/>
    </row>
    <row r="36" spans="1:17" ht="35.25" customHeight="1" thickBot="1">
      <c r="A36" s="1247"/>
      <c r="B36" s="1249"/>
      <c r="C36" s="1247"/>
      <c r="D36" s="375"/>
      <c r="E36" s="374"/>
      <c r="F36" s="374"/>
      <c r="G36" s="374"/>
      <c r="H36" s="374"/>
      <c r="I36" s="374"/>
      <c r="J36" s="374"/>
      <c r="K36" s="331" t="s">
        <v>348</v>
      </c>
      <c r="L36" s="357">
        <v>12</v>
      </c>
      <c r="M36" s="357">
        <v>15</v>
      </c>
      <c r="N36" s="357">
        <v>0</v>
      </c>
      <c r="O36" s="357">
        <v>0</v>
      </c>
      <c r="P36" s="357">
        <v>0</v>
      </c>
      <c r="Q36" s="1250"/>
    </row>
    <row r="37" spans="1:17" ht="20.25" customHeight="1" thickBot="1">
      <c r="A37" s="356"/>
      <c r="B37" s="335" t="s">
        <v>347</v>
      </c>
      <c r="C37" s="373"/>
      <c r="D37" s="354" t="s">
        <v>310</v>
      </c>
      <c r="E37" s="353">
        <f>SUM(F37:J37)</f>
        <v>372.6</v>
      </c>
      <c r="F37" s="353">
        <f>F34</f>
        <v>182.6</v>
      </c>
      <c r="G37" s="353">
        <f>G34</f>
        <v>190</v>
      </c>
      <c r="H37" s="353">
        <f>H34</f>
        <v>0</v>
      </c>
      <c r="I37" s="353">
        <f>I34</f>
        <v>0</v>
      </c>
      <c r="J37" s="352">
        <f>J34</f>
        <v>0</v>
      </c>
      <c r="K37" s="351"/>
      <c r="L37" s="350"/>
      <c r="M37" s="350"/>
      <c r="N37" s="350"/>
      <c r="O37" s="350"/>
      <c r="P37" s="350"/>
      <c r="Q37" s="349"/>
    </row>
    <row r="38" spans="1:17" ht="12" customHeight="1">
      <c r="A38" s="372"/>
      <c r="B38" s="1253" t="s">
        <v>346</v>
      </c>
      <c r="C38" s="1254"/>
      <c r="D38" s="1254"/>
      <c r="E38" s="1254"/>
      <c r="F38" s="1254"/>
      <c r="G38" s="1254"/>
      <c r="H38" s="1254"/>
      <c r="I38" s="1254"/>
      <c r="J38" s="1254"/>
      <c r="K38" s="1254"/>
      <c r="L38" s="1254"/>
      <c r="M38" s="1254"/>
      <c r="N38" s="1254"/>
      <c r="O38" s="1254"/>
      <c r="P38" s="1254"/>
      <c r="Q38" s="1255"/>
    </row>
    <row r="39" spans="1:17" ht="45" customHeight="1">
      <c r="A39" s="1196" t="s">
        <v>345</v>
      </c>
      <c r="B39" s="824" t="s">
        <v>344</v>
      </c>
      <c r="C39" s="1196" t="s">
        <v>42</v>
      </c>
      <c r="D39" s="361" t="s">
        <v>310</v>
      </c>
      <c r="E39" s="360">
        <f>SUM(F39:J39)</f>
        <v>372.6</v>
      </c>
      <c r="F39" s="360">
        <v>182.6</v>
      </c>
      <c r="G39" s="360">
        <v>190</v>
      </c>
      <c r="H39" s="360">
        <v>0</v>
      </c>
      <c r="I39" s="360">
        <v>0</v>
      </c>
      <c r="J39" s="360">
        <v>0</v>
      </c>
      <c r="K39" s="331" t="s">
        <v>343</v>
      </c>
      <c r="L39" s="357">
        <v>48</v>
      </c>
      <c r="M39" s="357">
        <v>48</v>
      </c>
      <c r="N39" s="357">
        <v>0</v>
      </c>
      <c r="O39" s="357">
        <v>0</v>
      </c>
      <c r="P39" s="357">
        <v>0</v>
      </c>
      <c r="Q39" s="1240" t="s">
        <v>336</v>
      </c>
    </row>
    <row r="40" spans="1:17" ht="46.5" customHeight="1" thickBot="1">
      <c r="A40" s="1247"/>
      <c r="B40" s="1249"/>
      <c r="C40" s="1247"/>
      <c r="D40" s="337" t="s">
        <v>5</v>
      </c>
      <c r="E40" s="358">
        <f>SUM(F40:J40)</f>
        <v>372.6</v>
      </c>
      <c r="F40" s="358">
        <v>182.6</v>
      </c>
      <c r="G40" s="358">
        <v>190</v>
      </c>
      <c r="H40" s="358">
        <v>0</v>
      </c>
      <c r="I40" s="358">
        <v>0</v>
      </c>
      <c r="J40" s="358">
        <v>0</v>
      </c>
      <c r="K40" s="331" t="s">
        <v>342</v>
      </c>
      <c r="L40" s="357">
        <v>29.5</v>
      </c>
      <c r="M40" s="357">
        <v>29.5</v>
      </c>
      <c r="N40" s="357">
        <v>0</v>
      </c>
      <c r="O40" s="357">
        <v>0</v>
      </c>
      <c r="P40" s="357">
        <v>0</v>
      </c>
      <c r="Q40" s="1250"/>
    </row>
    <row r="41" spans="1:17" ht="20.25" customHeight="1" thickBot="1">
      <c r="A41" s="356"/>
      <c r="B41" s="331" t="s">
        <v>341</v>
      </c>
      <c r="C41" s="355"/>
      <c r="D41" s="354" t="s">
        <v>310</v>
      </c>
      <c r="E41" s="353">
        <f>SUM(F41:J41)</f>
        <v>372.6</v>
      </c>
      <c r="F41" s="353">
        <f>F39</f>
        <v>182.6</v>
      </c>
      <c r="G41" s="353">
        <f>G39</f>
        <v>190</v>
      </c>
      <c r="H41" s="353">
        <f>H39</f>
        <v>0</v>
      </c>
      <c r="I41" s="353">
        <f>I39</f>
        <v>0</v>
      </c>
      <c r="J41" s="352">
        <f>J39</f>
        <v>0</v>
      </c>
      <c r="K41" s="351"/>
      <c r="L41" s="350"/>
      <c r="M41" s="350"/>
      <c r="N41" s="350"/>
      <c r="O41" s="350"/>
      <c r="P41" s="350"/>
      <c r="Q41" s="349"/>
    </row>
    <row r="42" spans="1:17" ht="13.5" customHeight="1">
      <c r="A42" s="370"/>
      <c r="B42" s="1253" t="s">
        <v>340</v>
      </c>
      <c r="C42" s="1254"/>
      <c r="D42" s="1254"/>
      <c r="E42" s="1254"/>
      <c r="F42" s="1254"/>
      <c r="G42" s="1254"/>
      <c r="H42" s="1254"/>
      <c r="I42" s="1254"/>
      <c r="J42" s="1254"/>
      <c r="K42" s="1254"/>
      <c r="L42" s="1254"/>
      <c r="M42" s="1254"/>
      <c r="N42" s="1254"/>
      <c r="O42" s="1254"/>
      <c r="P42" s="1254"/>
      <c r="Q42" s="1255"/>
    </row>
    <row r="43" spans="1:17" ht="37.5" customHeight="1">
      <c r="A43" s="1196" t="s">
        <v>339</v>
      </c>
      <c r="B43" s="824" t="s">
        <v>338</v>
      </c>
      <c r="C43" s="1196" t="s">
        <v>42</v>
      </c>
      <c r="D43" s="361" t="s">
        <v>310</v>
      </c>
      <c r="E43" s="360">
        <f>SUM(F43:J43)</f>
        <v>382.6</v>
      </c>
      <c r="F43" s="360">
        <v>182.6</v>
      </c>
      <c r="G43" s="360">
        <f>190+10</f>
        <v>200</v>
      </c>
      <c r="H43" s="360">
        <v>0</v>
      </c>
      <c r="I43" s="360">
        <v>0</v>
      </c>
      <c r="J43" s="360">
        <v>0</v>
      </c>
      <c r="K43" s="331" t="s">
        <v>337</v>
      </c>
      <c r="L43" s="357">
        <v>90</v>
      </c>
      <c r="M43" s="357">
        <v>90</v>
      </c>
      <c r="N43" s="357">
        <v>0</v>
      </c>
      <c r="O43" s="357">
        <v>0</v>
      </c>
      <c r="P43" s="357">
        <v>0</v>
      </c>
      <c r="Q43" s="1240" t="s">
        <v>336</v>
      </c>
    </row>
    <row r="44" spans="1:17" ht="24.75" customHeight="1" thickBot="1">
      <c r="A44" s="1247"/>
      <c r="B44" s="1249"/>
      <c r="C44" s="1247"/>
      <c r="D44" s="337" t="s">
        <v>5</v>
      </c>
      <c r="E44" s="358">
        <f>SUM(F44:J44)</f>
        <v>382.6</v>
      </c>
      <c r="F44" s="358">
        <v>182.6</v>
      </c>
      <c r="G44" s="358">
        <f>190+10</f>
        <v>200</v>
      </c>
      <c r="H44" s="358">
        <v>0</v>
      </c>
      <c r="I44" s="358">
        <v>0</v>
      </c>
      <c r="J44" s="358">
        <v>0</v>
      </c>
      <c r="K44" s="331" t="s">
        <v>335</v>
      </c>
      <c r="L44" s="357">
        <v>4</v>
      </c>
      <c r="M44" s="357">
        <v>5</v>
      </c>
      <c r="N44" s="357">
        <v>0</v>
      </c>
      <c r="O44" s="357">
        <v>0</v>
      </c>
      <c r="P44" s="357">
        <v>0</v>
      </c>
      <c r="Q44" s="1250"/>
    </row>
    <row r="45" spans="1:17" ht="21" customHeight="1" thickBot="1">
      <c r="A45" s="356"/>
      <c r="B45" s="331" t="s">
        <v>334</v>
      </c>
      <c r="C45" s="355"/>
      <c r="D45" s="354" t="s">
        <v>310</v>
      </c>
      <c r="E45" s="353">
        <f>SUM(F45:J45)</f>
        <v>382.6</v>
      </c>
      <c r="F45" s="353">
        <f>F43</f>
        <v>182.6</v>
      </c>
      <c r="G45" s="353">
        <f>G43</f>
        <v>200</v>
      </c>
      <c r="H45" s="353">
        <f>H43</f>
        <v>0</v>
      </c>
      <c r="I45" s="353">
        <f>I43</f>
        <v>0</v>
      </c>
      <c r="J45" s="352">
        <f>J43</f>
        <v>0</v>
      </c>
      <c r="K45" s="351"/>
      <c r="L45" s="350"/>
      <c r="M45" s="350"/>
      <c r="N45" s="350"/>
      <c r="O45" s="350"/>
      <c r="P45" s="350"/>
      <c r="Q45" s="349"/>
    </row>
    <row r="46" spans="1:17" ht="12" customHeight="1">
      <c r="A46" s="370"/>
      <c r="B46" s="1253" t="s">
        <v>333</v>
      </c>
      <c r="C46" s="1254"/>
      <c r="D46" s="1254"/>
      <c r="E46" s="1254"/>
      <c r="F46" s="1254"/>
      <c r="G46" s="1254"/>
      <c r="H46" s="1254"/>
      <c r="I46" s="1254"/>
      <c r="J46" s="1254"/>
      <c r="K46" s="1254"/>
      <c r="L46" s="1254"/>
      <c r="M46" s="1254"/>
      <c r="N46" s="1254"/>
      <c r="O46" s="1254"/>
      <c r="P46" s="1254"/>
      <c r="Q46" s="1255"/>
    </row>
    <row r="47" spans="1:17" ht="35.25" customHeight="1">
      <c r="A47" s="1196" t="s">
        <v>332</v>
      </c>
      <c r="B47" s="824" t="s">
        <v>331</v>
      </c>
      <c r="C47" s="1196" t="s">
        <v>42</v>
      </c>
      <c r="D47" s="361" t="s">
        <v>310</v>
      </c>
      <c r="E47" s="360">
        <f>SUM(F47:J47)</f>
        <v>1056.1</v>
      </c>
      <c r="F47" s="360">
        <v>396.1</v>
      </c>
      <c r="G47" s="360">
        <f>650+10</f>
        <v>660</v>
      </c>
      <c r="H47" s="360">
        <v>0</v>
      </c>
      <c r="I47" s="360">
        <v>0</v>
      </c>
      <c r="J47" s="360">
        <v>0</v>
      </c>
      <c r="K47" s="331" t="s">
        <v>330</v>
      </c>
      <c r="L47" s="357">
        <v>12</v>
      </c>
      <c r="M47" s="357">
        <v>13</v>
      </c>
      <c r="N47" s="357">
        <v>0</v>
      </c>
      <c r="O47" s="357">
        <v>0</v>
      </c>
      <c r="P47" s="357">
        <v>0</v>
      </c>
      <c r="Q47" s="1240" t="s">
        <v>329</v>
      </c>
    </row>
    <row r="48" spans="1:17" ht="24.75" customHeight="1" thickBot="1">
      <c r="A48" s="1247"/>
      <c r="B48" s="1249"/>
      <c r="C48" s="1247"/>
      <c r="D48" s="337" t="s">
        <v>5</v>
      </c>
      <c r="E48" s="358">
        <f>SUM(F48:J48)</f>
        <v>1056.1</v>
      </c>
      <c r="F48" s="358">
        <v>396.1</v>
      </c>
      <c r="G48" s="358">
        <f>650+10</f>
        <v>660</v>
      </c>
      <c r="H48" s="358">
        <v>0</v>
      </c>
      <c r="I48" s="358">
        <v>0</v>
      </c>
      <c r="J48" s="358">
        <v>0</v>
      </c>
      <c r="K48" s="331" t="s">
        <v>328</v>
      </c>
      <c r="L48" s="357">
        <v>8</v>
      </c>
      <c r="M48" s="357">
        <v>8</v>
      </c>
      <c r="N48" s="357">
        <v>0</v>
      </c>
      <c r="O48" s="357">
        <v>0</v>
      </c>
      <c r="P48" s="357">
        <v>0</v>
      </c>
      <c r="Q48" s="1250"/>
    </row>
    <row r="49" spans="1:17" ht="21.75" customHeight="1" thickBot="1">
      <c r="A49" s="356"/>
      <c r="B49" s="331" t="s">
        <v>327</v>
      </c>
      <c r="C49" s="355"/>
      <c r="D49" s="354" t="s">
        <v>310</v>
      </c>
      <c r="E49" s="353">
        <f>SUM(F49:J49)</f>
        <v>1056.1</v>
      </c>
      <c r="F49" s="353">
        <f>F47</f>
        <v>396.1</v>
      </c>
      <c r="G49" s="353">
        <f>G47</f>
        <v>660</v>
      </c>
      <c r="H49" s="353">
        <f>H47</f>
        <v>0</v>
      </c>
      <c r="I49" s="353">
        <f>I47</f>
        <v>0</v>
      </c>
      <c r="J49" s="352">
        <f>J47</f>
        <v>0</v>
      </c>
      <c r="K49" s="371"/>
      <c r="L49" s="350"/>
      <c r="M49" s="350"/>
      <c r="N49" s="350"/>
      <c r="O49" s="350"/>
      <c r="P49" s="350"/>
      <c r="Q49" s="349"/>
    </row>
    <row r="50" spans="1:17" ht="14.25" customHeight="1">
      <c r="A50" s="370"/>
      <c r="B50" s="1253" t="s">
        <v>326</v>
      </c>
      <c r="C50" s="1254"/>
      <c r="D50" s="1254"/>
      <c r="E50" s="1254"/>
      <c r="F50" s="1254"/>
      <c r="G50" s="1254"/>
      <c r="H50" s="1254"/>
      <c r="I50" s="1254"/>
      <c r="J50" s="1254"/>
      <c r="K50" s="1254"/>
      <c r="L50" s="1254"/>
      <c r="M50" s="1254"/>
      <c r="N50" s="1254"/>
      <c r="O50" s="1254"/>
      <c r="P50" s="1254"/>
      <c r="Q50" s="1255"/>
    </row>
    <row r="51" spans="1:17" ht="29.25" customHeight="1">
      <c r="A51" s="1196" t="s">
        <v>325</v>
      </c>
      <c r="B51" s="824" t="s">
        <v>324</v>
      </c>
      <c r="C51" s="1196" t="s">
        <v>42</v>
      </c>
      <c r="D51" s="1180" t="s">
        <v>318</v>
      </c>
      <c r="E51" s="1257">
        <f>SUM(F51:J52)</f>
        <v>1734</v>
      </c>
      <c r="F51" s="1257">
        <v>853</v>
      </c>
      <c r="G51" s="1257">
        <v>881</v>
      </c>
      <c r="H51" s="1257">
        <v>0</v>
      </c>
      <c r="I51" s="1257">
        <v>0</v>
      </c>
      <c r="J51" s="1257">
        <v>0</v>
      </c>
      <c r="K51" s="1228" t="s">
        <v>323</v>
      </c>
      <c r="L51" s="1196">
        <v>100</v>
      </c>
      <c r="M51" s="1196">
        <v>100</v>
      </c>
      <c r="N51" s="1196">
        <v>0</v>
      </c>
      <c r="O51" s="1196">
        <v>0</v>
      </c>
      <c r="P51" s="1196">
        <v>0</v>
      </c>
      <c r="Q51" s="761" t="s">
        <v>322</v>
      </c>
    </row>
    <row r="52" spans="1:17" ht="18" customHeight="1">
      <c r="A52" s="1247"/>
      <c r="B52" s="1249"/>
      <c r="C52" s="1247"/>
      <c r="D52" s="1259"/>
      <c r="E52" s="1258"/>
      <c r="F52" s="1258"/>
      <c r="G52" s="1258"/>
      <c r="H52" s="1258"/>
      <c r="I52" s="1258"/>
      <c r="J52" s="1258"/>
      <c r="K52" s="1229"/>
      <c r="L52" s="1223"/>
      <c r="M52" s="1223"/>
      <c r="N52" s="1223"/>
      <c r="O52" s="1223"/>
      <c r="P52" s="1223"/>
      <c r="Q52" s="774"/>
    </row>
    <row r="53" spans="1:17" ht="124.5" customHeight="1" thickBot="1">
      <c r="A53" s="369" t="s">
        <v>321</v>
      </c>
      <c r="B53" s="368" t="s">
        <v>320</v>
      </c>
      <c r="C53" s="367"/>
      <c r="D53" s="361" t="s">
        <v>318</v>
      </c>
      <c r="E53" s="366">
        <f>SUM(F53:J53)</f>
        <v>21.7</v>
      </c>
      <c r="F53" s="366">
        <v>13.1</v>
      </c>
      <c r="G53" s="366">
        <v>8.6</v>
      </c>
      <c r="H53" s="366">
        <v>0</v>
      </c>
      <c r="I53" s="366">
        <v>0</v>
      </c>
      <c r="J53" s="366">
        <v>0</v>
      </c>
      <c r="K53" s="1260"/>
      <c r="L53" s="1239"/>
      <c r="M53" s="1239"/>
      <c r="N53" s="1239"/>
      <c r="O53" s="1239"/>
      <c r="P53" s="1239"/>
      <c r="Q53" s="775"/>
    </row>
    <row r="54" spans="1:17" ht="22.5" customHeight="1" thickBot="1">
      <c r="A54" s="365"/>
      <c r="B54" s="331" t="s">
        <v>319</v>
      </c>
      <c r="C54" s="355"/>
      <c r="D54" s="354" t="s">
        <v>318</v>
      </c>
      <c r="E54" s="353">
        <f>SUM(F54:J54)</f>
        <v>1755.7</v>
      </c>
      <c r="F54" s="353">
        <f>SUM(F51:F53)</f>
        <v>866.1</v>
      </c>
      <c r="G54" s="353">
        <f>SUM(G51:G53)</f>
        <v>889.6</v>
      </c>
      <c r="H54" s="353">
        <f>SUM(H51:H53)</f>
        <v>0</v>
      </c>
      <c r="I54" s="353">
        <f>SUM(I51:I53)</f>
        <v>0</v>
      </c>
      <c r="J54" s="352">
        <f>SUM(J51:J53)</f>
        <v>0</v>
      </c>
      <c r="K54" s="364"/>
      <c r="L54" s="350"/>
      <c r="M54" s="350"/>
      <c r="N54" s="350"/>
      <c r="O54" s="363"/>
      <c r="P54" s="363"/>
      <c r="Q54" s="362"/>
    </row>
    <row r="55" spans="1:17" ht="21.75" customHeight="1">
      <c r="A55" s="356"/>
      <c r="B55" s="1253" t="s">
        <v>317</v>
      </c>
      <c r="C55" s="1254"/>
      <c r="D55" s="1254"/>
      <c r="E55" s="1254"/>
      <c r="F55" s="1254"/>
      <c r="G55" s="1254"/>
      <c r="H55" s="1254"/>
      <c r="I55" s="1254"/>
      <c r="J55" s="1254"/>
      <c r="K55" s="1254"/>
      <c r="L55" s="1254"/>
      <c r="M55" s="1254"/>
      <c r="N55" s="1254"/>
      <c r="O55" s="1254"/>
      <c r="P55" s="1254"/>
      <c r="Q55" s="1255"/>
    </row>
    <row r="56" spans="1:17" ht="57.75" customHeight="1">
      <c r="A56" s="1196" t="s">
        <v>316</v>
      </c>
      <c r="B56" s="824" t="s">
        <v>315</v>
      </c>
      <c r="C56" s="1196" t="s">
        <v>42</v>
      </c>
      <c r="D56" s="361" t="s">
        <v>310</v>
      </c>
      <c r="E56" s="360">
        <f>SUM(F56:J56)</f>
        <v>5235.03</v>
      </c>
      <c r="F56" s="360">
        <v>4447.23</v>
      </c>
      <c r="G56" s="360">
        <f>777.8+10</f>
        <v>787.8</v>
      </c>
      <c r="H56" s="360">
        <v>0</v>
      </c>
      <c r="I56" s="360">
        <v>0</v>
      </c>
      <c r="J56" s="360">
        <v>0</v>
      </c>
      <c r="K56" s="331" t="s">
        <v>314</v>
      </c>
      <c r="L56" s="359"/>
      <c r="M56" s="359"/>
      <c r="N56" s="359"/>
      <c r="O56" s="359"/>
      <c r="P56" s="359"/>
      <c r="Q56" s="1240" t="s">
        <v>313</v>
      </c>
    </row>
    <row r="57" spans="1:17" ht="39" customHeight="1" thickBot="1">
      <c r="A57" s="1247"/>
      <c r="B57" s="1249"/>
      <c r="C57" s="1247"/>
      <c r="D57" s="337" t="s">
        <v>5</v>
      </c>
      <c r="E57" s="358">
        <f>SUM(F57:J57)</f>
        <v>5235</v>
      </c>
      <c r="F57" s="358">
        <v>4447.2</v>
      </c>
      <c r="G57" s="358">
        <f>777.8+10</f>
        <v>787.8</v>
      </c>
      <c r="H57" s="358">
        <v>0</v>
      </c>
      <c r="I57" s="358">
        <v>0</v>
      </c>
      <c r="J57" s="358">
        <v>0</v>
      </c>
      <c r="K57" s="331" t="s">
        <v>312</v>
      </c>
      <c r="L57" s="357">
        <v>4</v>
      </c>
      <c r="M57" s="357">
        <v>4</v>
      </c>
      <c r="N57" s="357">
        <v>0</v>
      </c>
      <c r="O57" s="357">
        <v>0</v>
      </c>
      <c r="P57" s="357">
        <v>0</v>
      </c>
      <c r="Q57" s="1250"/>
    </row>
    <row r="58" spans="1:17" ht="21.75" customHeight="1" thickBot="1">
      <c r="A58" s="356"/>
      <c r="B58" s="331" t="s">
        <v>311</v>
      </c>
      <c r="C58" s="355"/>
      <c r="D58" s="354" t="s">
        <v>310</v>
      </c>
      <c r="E58" s="437">
        <f>SUM(F58:J58)</f>
        <v>5235.03</v>
      </c>
      <c r="F58" s="437">
        <f>F56</f>
        <v>4447.23</v>
      </c>
      <c r="G58" s="437">
        <f>G56</f>
        <v>787.8</v>
      </c>
      <c r="H58" s="437">
        <f>H56</f>
        <v>0</v>
      </c>
      <c r="I58" s="437">
        <f>I56</f>
        <v>0</v>
      </c>
      <c r="J58" s="438">
        <f>J56</f>
        <v>0</v>
      </c>
      <c r="K58" s="351"/>
      <c r="L58" s="350"/>
      <c r="M58" s="350"/>
      <c r="N58" s="350"/>
      <c r="O58" s="350"/>
      <c r="P58" s="350"/>
      <c r="Q58" s="349"/>
    </row>
    <row r="59" spans="1:17" ht="13.5" customHeight="1">
      <c r="A59" s="755"/>
      <c r="B59" s="792" t="s">
        <v>13</v>
      </c>
      <c r="C59" s="1261"/>
      <c r="D59" s="348" t="s">
        <v>11</v>
      </c>
      <c r="E59" s="1158">
        <f>SUM(F59:J60)</f>
        <v>15298.93</v>
      </c>
      <c r="F59" s="1158">
        <f>SUM(F61:F62)</f>
        <v>8816.53</v>
      </c>
      <c r="G59" s="1158">
        <f>SUM(G61:G62)</f>
        <v>6482.400000000001</v>
      </c>
      <c r="H59" s="1209">
        <v>0</v>
      </c>
      <c r="I59" s="1209">
        <v>0</v>
      </c>
      <c r="J59" s="1209">
        <v>0</v>
      </c>
      <c r="K59" s="1118"/>
      <c r="L59" s="755"/>
      <c r="M59" s="755"/>
      <c r="N59" s="755"/>
      <c r="O59" s="755"/>
      <c r="P59" s="755"/>
      <c r="Q59" s="755"/>
    </row>
    <row r="60" spans="1:17" ht="10.5" customHeight="1">
      <c r="A60" s="755"/>
      <c r="B60" s="792"/>
      <c r="C60" s="1261"/>
      <c r="D60" s="347" t="s">
        <v>12</v>
      </c>
      <c r="E60" s="1159"/>
      <c r="F60" s="1159"/>
      <c r="G60" s="1159"/>
      <c r="H60" s="1210"/>
      <c r="I60" s="1210"/>
      <c r="J60" s="1210"/>
      <c r="K60" s="1213"/>
      <c r="L60" s="755"/>
      <c r="M60" s="755"/>
      <c r="N60" s="755"/>
      <c r="O60" s="755"/>
      <c r="P60" s="755"/>
      <c r="Q60" s="755"/>
    </row>
    <row r="61" spans="1:17" ht="13.5" customHeight="1">
      <c r="A61" s="755"/>
      <c r="B61" s="792"/>
      <c r="C61" s="1261"/>
      <c r="D61" s="347" t="s">
        <v>5</v>
      </c>
      <c r="E61" s="460">
        <f>SUM(F61:J61)</f>
        <v>13543.230000000001</v>
      </c>
      <c r="F61" s="460">
        <f>SUM(F58,F49,F45,F41,F37,F32,F27,F22,F17,F12)</f>
        <v>7950.430000000001</v>
      </c>
      <c r="G61" s="460">
        <f>SUM(G58,G49,G45,G41,G37,G32,G27,G22,G17,G12)</f>
        <v>5592.8</v>
      </c>
      <c r="H61" s="426">
        <v>0</v>
      </c>
      <c r="I61" s="496">
        <v>0</v>
      </c>
      <c r="J61" s="496">
        <v>0</v>
      </c>
      <c r="K61" s="1213"/>
      <c r="L61" s="755"/>
      <c r="M61" s="755"/>
      <c r="N61" s="755"/>
      <c r="O61" s="755"/>
      <c r="P61" s="755"/>
      <c r="Q61" s="755"/>
    </row>
    <row r="62" spans="1:17" ht="14.25" customHeight="1" thickBot="1">
      <c r="A62" s="755"/>
      <c r="B62" s="792"/>
      <c r="C62" s="1261"/>
      <c r="D62" s="346" t="s">
        <v>6</v>
      </c>
      <c r="E62" s="427">
        <f>SUM(F62:J62)</f>
        <v>1755.7</v>
      </c>
      <c r="F62" s="427">
        <f>F54</f>
        <v>866.1</v>
      </c>
      <c r="G62" s="427">
        <f>G54</f>
        <v>889.6</v>
      </c>
      <c r="H62" s="427">
        <v>0</v>
      </c>
      <c r="I62" s="427">
        <v>0</v>
      </c>
      <c r="J62" s="427">
        <v>0</v>
      </c>
      <c r="K62" s="1117"/>
      <c r="L62" s="755"/>
      <c r="M62" s="755"/>
      <c r="N62" s="755"/>
      <c r="O62" s="755"/>
      <c r="P62" s="755"/>
      <c r="Q62" s="755"/>
    </row>
    <row r="65" spans="8:10" s="233" customFormat="1" ht="18.75" customHeight="1">
      <c r="H65" s="345"/>
      <c r="I65" s="345"/>
      <c r="J65" s="345"/>
    </row>
    <row r="67" spans="8:10" s="233" customFormat="1" ht="18.75" customHeight="1">
      <c r="H67" s="345"/>
      <c r="I67" s="345"/>
      <c r="J67" s="345"/>
    </row>
  </sheetData>
  <sheetProtection/>
  <mergeCells count="114">
    <mergeCell ref="N59:N62"/>
    <mergeCell ref="O59:O62"/>
    <mergeCell ref="P59:P62"/>
    <mergeCell ref="Q59:Q62"/>
    <mergeCell ref="H59:H60"/>
    <mergeCell ref="I59:I60"/>
    <mergeCell ref="J59:J60"/>
    <mergeCell ref="K59:K62"/>
    <mergeCell ref="L59:L62"/>
    <mergeCell ref="M59:M62"/>
    <mergeCell ref="A59:A62"/>
    <mergeCell ref="B59:B62"/>
    <mergeCell ref="C59:C62"/>
    <mergeCell ref="E59:E60"/>
    <mergeCell ref="F59:F60"/>
    <mergeCell ref="G59:G60"/>
    <mergeCell ref="P51:P53"/>
    <mergeCell ref="Q51:Q53"/>
    <mergeCell ref="B55:Q55"/>
    <mergeCell ref="A56:A57"/>
    <mergeCell ref="B56:B57"/>
    <mergeCell ref="C56:C57"/>
    <mergeCell ref="Q56:Q57"/>
    <mergeCell ref="J51:J52"/>
    <mergeCell ref="K51:K53"/>
    <mergeCell ref="L51:L53"/>
    <mergeCell ref="M51:M53"/>
    <mergeCell ref="N51:N53"/>
    <mergeCell ref="O51:O53"/>
    <mergeCell ref="B50:Q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A43:A44"/>
    <mergeCell ref="B43:B44"/>
    <mergeCell ref="C43:C44"/>
    <mergeCell ref="Q43:Q44"/>
    <mergeCell ref="B46:Q46"/>
    <mergeCell ref="A47:A48"/>
    <mergeCell ref="B47:B48"/>
    <mergeCell ref="C47:C48"/>
    <mergeCell ref="Q47:Q48"/>
    <mergeCell ref="B38:Q38"/>
    <mergeCell ref="A39:A40"/>
    <mergeCell ref="B39:B40"/>
    <mergeCell ref="C39:C40"/>
    <mergeCell ref="Q39:Q40"/>
    <mergeCell ref="B42:Q42"/>
    <mergeCell ref="A29:A31"/>
    <mergeCell ref="B29:B31"/>
    <mergeCell ref="C29:C31"/>
    <mergeCell ref="Q29:Q31"/>
    <mergeCell ref="B33:Q33"/>
    <mergeCell ref="A34:A36"/>
    <mergeCell ref="B34:B36"/>
    <mergeCell ref="C34:C36"/>
    <mergeCell ref="Q34:Q36"/>
    <mergeCell ref="B23:Q23"/>
    <mergeCell ref="A24:A26"/>
    <mergeCell ref="B24:B26"/>
    <mergeCell ref="C24:C26"/>
    <mergeCell ref="Q24:Q26"/>
    <mergeCell ref="B28:Q28"/>
    <mergeCell ref="E20:E21"/>
    <mergeCell ref="F20:F21"/>
    <mergeCell ref="G20:G21"/>
    <mergeCell ref="H20:H21"/>
    <mergeCell ref="I20:I21"/>
    <mergeCell ref="J20:J21"/>
    <mergeCell ref="G15:G16"/>
    <mergeCell ref="H15:H16"/>
    <mergeCell ref="I15:I16"/>
    <mergeCell ref="J15:J16"/>
    <mergeCell ref="B18:Q18"/>
    <mergeCell ref="A19:A21"/>
    <mergeCell ref="B19:B21"/>
    <mergeCell ref="C19:C21"/>
    <mergeCell ref="Q19:Q21"/>
    <mergeCell ref="D20:D21"/>
    <mergeCell ref="O10:O11"/>
    <mergeCell ref="P10:P11"/>
    <mergeCell ref="B13:Q13"/>
    <mergeCell ref="A14:A16"/>
    <mergeCell ref="B14:B16"/>
    <mergeCell ref="C14:C16"/>
    <mergeCell ref="Q14:Q16"/>
    <mergeCell ref="D15:D16"/>
    <mergeCell ref="E15:E16"/>
    <mergeCell ref="F15:F16"/>
    <mergeCell ref="B7:Q7"/>
    <mergeCell ref="B8:Q8"/>
    <mergeCell ref="A9:A11"/>
    <mergeCell ref="B9:B10"/>
    <mergeCell ref="C9:C10"/>
    <mergeCell ref="Q9:Q11"/>
    <mergeCell ref="K10:K11"/>
    <mergeCell ref="L10:L11"/>
    <mergeCell ref="M10:M11"/>
    <mergeCell ref="N10:N11"/>
    <mergeCell ref="H1:Q1"/>
    <mergeCell ref="A2:Q2"/>
    <mergeCell ref="A4:A5"/>
    <mergeCell ref="B4:B5"/>
    <mergeCell ref="C4:C5"/>
    <mergeCell ref="D4:D5"/>
    <mergeCell ref="E4:J4"/>
    <mergeCell ref="K4:P4"/>
    <mergeCell ref="Q4:Q5"/>
  </mergeCells>
  <printOptions/>
  <pageMargins left="0.7086614173228347" right="0.7086614173228347" top="0.5118110236220472" bottom="0.4724409448818898" header="0.31496062992125984" footer="0.31496062992125984"/>
  <pageSetup fitToHeight="4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77"/>
  <sheetViews>
    <sheetView zoomScaleSheetLayoutView="100" workbookViewId="0" topLeftCell="A1">
      <pane ySplit="6" topLeftCell="A10" activePane="bottomLeft" state="frozen"/>
      <selection pane="topLeft" activeCell="A1" sqref="A1"/>
      <selection pane="bottomLeft" activeCell="F20" sqref="F20:F21"/>
    </sheetView>
  </sheetViews>
  <sheetFormatPr defaultColWidth="19.57421875" defaultRowHeight="18.75" customHeight="1"/>
  <cols>
    <col min="1" max="1" width="6.57421875" style="1" customWidth="1"/>
    <col min="2" max="2" width="28.421875" style="1" customWidth="1"/>
    <col min="3" max="3" width="6.421875" style="51" customWidth="1"/>
    <col min="4" max="4" width="6.8515625" style="42" customWidth="1"/>
    <col min="5" max="5" width="8.00390625" style="42" customWidth="1"/>
    <col min="6" max="10" width="8.421875" style="42" customWidth="1"/>
    <col min="11" max="11" width="23.421875" style="53" customWidth="1"/>
    <col min="12" max="16" width="5.00390625" style="42" customWidth="1"/>
    <col min="17" max="17" width="19.00390625" style="3" customWidth="1"/>
    <col min="18" max="16384" width="19.57421875" style="1" customWidth="1"/>
  </cols>
  <sheetData>
    <row r="1" spans="1:17" ht="25.5" customHeight="1">
      <c r="A1" s="9"/>
      <c r="B1" s="9"/>
      <c r="C1" s="50"/>
      <c r="D1" s="35"/>
      <c r="E1" s="35"/>
      <c r="F1" s="35"/>
      <c r="H1" s="59"/>
      <c r="I1" s="59"/>
      <c r="J1" s="59"/>
      <c r="K1" s="59"/>
      <c r="L1" s="786" t="s">
        <v>295</v>
      </c>
      <c r="M1" s="786"/>
      <c r="N1" s="786"/>
      <c r="O1" s="786"/>
      <c r="P1" s="786"/>
      <c r="Q1" s="786"/>
    </row>
    <row r="2" spans="1:17" ht="28.5" customHeight="1">
      <c r="A2" s="787" t="s">
        <v>157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787"/>
    </row>
    <row r="3" spans="1:17" ht="10.5" customHeight="1">
      <c r="A3" s="9"/>
      <c r="B3" s="9"/>
      <c r="C3" s="50"/>
      <c r="D3" s="35"/>
      <c r="E3" s="35"/>
      <c r="F3" s="35"/>
      <c r="G3" s="35"/>
      <c r="H3" s="35"/>
      <c r="I3" s="35"/>
      <c r="J3" s="35"/>
      <c r="K3" s="52"/>
      <c r="L3" s="35"/>
      <c r="M3" s="35"/>
      <c r="N3" s="35"/>
      <c r="O3" s="35"/>
      <c r="P3" s="35"/>
      <c r="Q3" s="79" t="s">
        <v>7</v>
      </c>
    </row>
    <row r="4" spans="1:17" s="15" customFormat="1" ht="40.5" customHeight="1">
      <c r="A4" s="788" t="s">
        <v>16</v>
      </c>
      <c r="B4" s="776" t="s">
        <v>15</v>
      </c>
      <c r="C4" s="788" t="s">
        <v>8</v>
      </c>
      <c r="D4" s="788" t="s">
        <v>9</v>
      </c>
      <c r="E4" s="778" t="s">
        <v>0</v>
      </c>
      <c r="F4" s="779"/>
      <c r="G4" s="779"/>
      <c r="H4" s="779"/>
      <c r="I4" s="779"/>
      <c r="J4" s="780"/>
      <c r="K4" s="778" t="s">
        <v>17</v>
      </c>
      <c r="L4" s="779"/>
      <c r="M4" s="779"/>
      <c r="N4" s="779"/>
      <c r="O4" s="779"/>
      <c r="P4" s="780"/>
      <c r="Q4" s="776" t="s">
        <v>14</v>
      </c>
    </row>
    <row r="5" spans="1:17" s="15" customFormat="1" ht="14.25" customHeight="1">
      <c r="A5" s="788"/>
      <c r="B5" s="777"/>
      <c r="C5" s="788"/>
      <c r="D5" s="788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777"/>
    </row>
    <row r="6" spans="1:17" s="10" customFormat="1" ht="9.75" customHeight="1">
      <c r="A6" s="148">
        <v>1</v>
      </c>
      <c r="B6" s="148">
        <v>2</v>
      </c>
      <c r="C6" s="148">
        <v>3</v>
      </c>
      <c r="D6" s="148">
        <v>4</v>
      </c>
      <c r="E6" s="148">
        <v>5</v>
      </c>
      <c r="F6" s="148">
        <v>6</v>
      </c>
      <c r="G6" s="148">
        <v>7</v>
      </c>
      <c r="H6" s="148">
        <v>8</v>
      </c>
      <c r="I6" s="148">
        <v>9</v>
      </c>
      <c r="J6" s="148">
        <v>10</v>
      </c>
      <c r="K6" s="148">
        <v>11</v>
      </c>
      <c r="L6" s="148">
        <v>12</v>
      </c>
      <c r="M6" s="148">
        <v>13</v>
      </c>
      <c r="N6" s="148">
        <v>14</v>
      </c>
      <c r="O6" s="148">
        <v>15</v>
      </c>
      <c r="P6" s="148">
        <v>16</v>
      </c>
      <c r="Q6" s="148">
        <v>17</v>
      </c>
    </row>
    <row r="7" spans="1:17" ht="11.25" customHeight="1">
      <c r="A7" s="148"/>
      <c r="B7" s="782" t="s">
        <v>44</v>
      </c>
      <c r="C7" s="782"/>
      <c r="D7" s="782"/>
      <c r="E7" s="782"/>
      <c r="F7" s="782"/>
      <c r="G7" s="782"/>
      <c r="H7" s="782"/>
      <c r="I7" s="782"/>
      <c r="J7" s="782"/>
      <c r="K7" s="782"/>
      <c r="L7" s="782"/>
      <c r="M7" s="782"/>
      <c r="N7" s="782"/>
      <c r="O7" s="782"/>
      <c r="P7" s="782"/>
      <c r="Q7" s="782"/>
    </row>
    <row r="8" spans="1:17" ht="13.5" customHeight="1">
      <c r="A8" s="20">
        <v>1</v>
      </c>
      <c r="B8" s="783" t="s">
        <v>79</v>
      </c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</row>
    <row r="9" spans="1:17" ht="22.5" customHeight="1">
      <c r="A9" s="758" t="s">
        <v>19</v>
      </c>
      <c r="B9" s="902" t="s">
        <v>45</v>
      </c>
      <c r="C9" s="993" t="s">
        <v>161</v>
      </c>
      <c r="D9" s="139" t="s">
        <v>249</v>
      </c>
      <c r="E9" s="171">
        <f aca="true" t="shared" si="0" ref="E9:J9">E10</f>
        <v>11120.5</v>
      </c>
      <c r="F9" s="171">
        <f t="shared" si="0"/>
        <v>8761</v>
      </c>
      <c r="G9" s="171">
        <f t="shared" si="0"/>
        <v>2359.5</v>
      </c>
      <c r="H9" s="171">
        <f t="shared" si="0"/>
        <v>0</v>
      </c>
      <c r="I9" s="171">
        <f t="shared" si="0"/>
        <v>0</v>
      </c>
      <c r="J9" s="171">
        <f t="shared" si="0"/>
        <v>0</v>
      </c>
      <c r="K9" s="948" t="s">
        <v>248</v>
      </c>
      <c r="L9" s="949" t="s">
        <v>236</v>
      </c>
      <c r="M9" s="949" t="s">
        <v>236</v>
      </c>
      <c r="N9" s="949" t="s">
        <v>213</v>
      </c>
      <c r="O9" s="949" t="s">
        <v>213</v>
      </c>
      <c r="P9" s="949" t="s">
        <v>213</v>
      </c>
      <c r="Q9" s="949" t="s">
        <v>63</v>
      </c>
    </row>
    <row r="10" spans="1:17" ht="6.75" customHeight="1">
      <c r="A10" s="731"/>
      <c r="B10" s="940"/>
      <c r="C10" s="940"/>
      <c r="D10" s="932" t="s">
        <v>5</v>
      </c>
      <c r="E10" s="999">
        <f>SUM(F10:J13)</f>
        <v>11120.5</v>
      </c>
      <c r="F10" s="999">
        <f>16163-6362-120-300-620</f>
        <v>8761</v>
      </c>
      <c r="G10" s="999">
        <v>2359.5</v>
      </c>
      <c r="H10" s="999">
        <v>0</v>
      </c>
      <c r="I10" s="999">
        <v>0</v>
      </c>
      <c r="J10" s="999">
        <v>0</v>
      </c>
      <c r="K10" s="964"/>
      <c r="L10" s="964"/>
      <c r="M10" s="964"/>
      <c r="N10" s="964"/>
      <c r="O10" s="964"/>
      <c r="P10" s="964"/>
      <c r="Q10" s="946"/>
    </row>
    <row r="11" spans="1:17" ht="6.75" customHeight="1">
      <c r="A11" s="731"/>
      <c r="B11" s="940"/>
      <c r="C11" s="940"/>
      <c r="D11" s="932"/>
      <c r="E11" s="999"/>
      <c r="F11" s="999"/>
      <c r="G11" s="999"/>
      <c r="H11" s="999"/>
      <c r="I11" s="999"/>
      <c r="J11" s="999"/>
      <c r="K11" s="964"/>
      <c r="L11" s="964"/>
      <c r="M11" s="964"/>
      <c r="N11" s="964"/>
      <c r="O11" s="964"/>
      <c r="P11" s="964"/>
      <c r="Q11" s="946"/>
    </row>
    <row r="12" spans="1:17" ht="10.5" customHeight="1">
      <c r="A12" s="731"/>
      <c r="B12" s="940"/>
      <c r="C12" s="940"/>
      <c r="D12" s="932"/>
      <c r="E12" s="999"/>
      <c r="F12" s="999"/>
      <c r="G12" s="999"/>
      <c r="H12" s="999"/>
      <c r="I12" s="999"/>
      <c r="J12" s="999"/>
      <c r="K12" s="964"/>
      <c r="L12" s="964"/>
      <c r="M12" s="964"/>
      <c r="N12" s="964"/>
      <c r="O12" s="964"/>
      <c r="P12" s="964"/>
      <c r="Q12" s="946"/>
    </row>
    <row r="13" spans="1:17" ht="8.25" customHeight="1">
      <c r="A13" s="732"/>
      <c r="B13" s="941"/>
      <c r="C13" s="941"/>
      <c r="D13" s="932"/>
      <c r="E13" s="999"/>
      <c r="F13" s="999"/>
      <c r="G13" s="999"/>
      <c r="H13" s="999"/>
      <c r="I13" s="999"/>
      <c r="J13" s="999"/>
      <c r="K13" s="964"/>
      <c r="L13" s="964"/>
      <c r="M13" s="964"/>
      <c r="N13" s="964"/>
      <c r="O13" s="964"/>
      <c r="P13" s="964"/>
      <c r="Q13" s="946"/>
    </row>
    <row r="14" spans="1:17" ht="15" customHeight="1">
      <c r="A14" s="1022"/>
      <c r="B14" s="1308" t="s">
        <v>23</v>
      </c>
      <c r="C14" s="1271"/>
      <c r="D14" s="1309" t="s">
        <v>249</v>
      </c>
      <c r="E14" s="1290">
        <f>SUM(F14:J15)</f>
        <v>11120.5</v>
      </c>
      <c r="F14" s="1304">
        <f>SUM(F16:F17)</f>
        <v>8761</v>
      </c>
      <c r="G14" s="1304">
        <f>SUM(G16:G17)</f>
        <v>2359.5</v>
      </c>
      <c r="H14" s="1304">
        <f>SUM(H16:H17)</f>
        <v>0</v>
      </c>
      <c r="I14" s="1304">
        <f>SUM(I16:I17)</f>
        <v>0</v>
      </c>
      <c r="J14" s="1304">
        <f>SUM(J16:J17)</f>
        <v>0</v>
      </c>
      <c r="K14" s="1271"/>
      <c r="L14" s="1271"/>
      <c r="M14" s="1271"/>
      <c r="N14" s="1271"/>
      <c r="O14" s="1271"/>
      <c r="P14" s="1271"/>
      <c r="Q14" s="1271"/>
    </row>
    <row r="15" spans="1:17" ht="10.5" customHeight="1">
      <c r="A15" s="1022"/>
      <c r="B15" s="1011"/>
      <c r="C15" s="1271"/>
      <c r="D15" s="1310"/>
      <c r="E15" s="1304"/>
      <c r="F15" s="917"/>
      <c r="G15" s="917"/>
      <c r="H15" s="917"/>
      <c r="I15" s="917"/>
      <c r="J15" s="917"/>
      <c r="K15" s="1271"/>
      <c r="L15" s="1271"/>
      <c r="M15" s="1271"/>
      <c r="N15" s="1271"/>
      <c r="O15" s="1271"/>
      <c r="P15" s="1271"/>
      <c r="Q15" s="1271"/>
    </row>
    <row r="16" spans="1:17" ht="13.5" customHeight="1">
      <c r="A16" s="1022"/>
      <c r="B16" s="1011"/>
      <c r="C16" s="1271"/>
      <c r="D16" s="121" t="s">
        <v>5</v>
      </c>
      <c r="E16" s="156">
        <f>SUM(F16:J16)</f>
        <v>11120.5</v>
      </c>
      <c r="F16" s="156">
        <f>SUM(F10,F68)</f>
        <v>8761</v>
      </c>
      <c r="G16" s="156">
        <f>SUM(G10,G68)</f>
        <v>2359.5</v>
      </c>
      <c r="H16" s="156">
        <f>SUM(H10,H68)</f>
        <v>0</v>
      </c>
      <c r="I16" s="156">
        <f>SUM(I10,I68)</f>
        <v>0</v>
      </c>
      <c r="J16" s="156">
        <f>SUM(J10,J68)</f>
        <v>0</v>
      </c>
      <c r="K16" s="1271"/>
      <c r="L16" s="1271"/>
      <c r="M16" s="1271"/>
      <c r="N16" s="1271"/>
      <c r="O16" s="1271"/>
      <c r="P16" s="1271"/>
      <c r="Q16" s="1271"/>
    </row>
    <row r="17" spans="1:17" ht="13.5" customHeight="1">
      <c r="A17" s="732"/>
      <c r="B17" s="941"/>
      <c r="C17" s="1307"/>
      <c r="D17" s="150" t="s">
        <v>6</v>
      </c>
      <c r="E17" s="147">
        <f>SUM(F17:J17)</f>
        <v>0</v>
      </c>
      <c r="F17" s="147">
        <f>F67</f>
        <v>0</v>
      </c>
      <c r="G17" s="147">
        <v>0</v>
      </c>
      <c r="H17" s="147">
        <f>H67</f>
        <v>0</v>
      </c>
      <c r="I17" s="147">
        <f>I67</f>
        <v>0</v>
      </c>
      <c r="J17" s="147">
        <f>J67</f>
        <v>0</v>
      </c>
      <c r="K17" s="1307"/>
      <c r="L17" s="1307"/>
      <c r="M17" s="1307"/>
      <c r="N17" s="1307"/>
      <c r="O17" s="1307"/>
      <c r="P17" s="1307"/>
      <c r="Q17" s="1307"/>
    </row>
    <row r="18" spans="1:17" ht="16.5" customHeight="1">
      <c r="A18" s="16" t="s">
        <v>24</v>
      </c>
      <c r="B18" s="986" t="s">
        <v>80</v>
      </c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87"/>
    </row>
    <row r="19" spans="1:17" ht="24" customHeight="1">
      <c r="A19" s="758" t="s">
        <v>26</v>
      </c>
      <c r="B19" s="902" t="s">
        <v>46</v>
      </c>
      <c r="C19" s="993" t="s">
        <v>161</v>
      </c>
      <c r="D19" s="164" t="s">
        <v>249</v>
      </c>
      <c r="E19" s="8" t="s">
        <v>251</v>
      </c>
      <c r="F19" s="8" t="s">
        <v>252</v>
      </c>
      <c r="G19" s="8" t="s">
        <v>253</v>
      </c>
      <c r="H19" s="8" t="s">
        <v>253</v>
      </c>
      <c r="I19" s="8" t="s">
        <v>253</v>
      </c>
      <c r="J19" s="8" t="s">
        <v>253</v>
      </c>
      <c r="K19" s="902" t="s">
        <v>250</v>
      </c>
      <c r="L19" s="949" t="s">
        <v>240</v>
      </c>
      <c r="M19" s="949" t="s">
        <v>240</v>
      </c>
      <c r="N19" s="949" t="s">
        <v>240</v>
      </c>
      <c r="O19" s="949" t="s">
        <v>240</v>
      </c>
      <c r="P19" s="949" t="s">
        <v>240</v>
      </c>
      <c r="Q19" s="758" t="s">
        <v>136</v>
      </c>
    </row>
    <row r="20" spans="1:17" ht="16.5" customHeight="1">
      <c r="A20" s="846"/>
      <c r="B20" s="962"/>
      <c r="C20" s="984"/>
      <c r="D20" s="945" t="s">
        <v>5</v>
      </c>
      <c r="E20" s="955">
        <f>SUM(F20:J21)</f>
        <v>1040</v>
      </c>
      <c r="F20" s="955">
        <v>240</v>
      </c>
      <c r="G20" s="955">
        <v>200</v>
      </c>
      <c r="H20" s="955">
        <v>200</v>
      </c>
      <c r="I20" s="955">
        <v>200</v>
      </c>
      <c r="J20" s="955">
        <v>200</v>
      </c>
      <c r="K20" s="962"/>
      <c r="L20" s="988"/>
      <c r="M20" s="988"/>
      <c r="N20" s="988"/>
      <c r="O20" s="988"/>
      <c r="P20" s="988"/>
      <c r="Q20" s="984"/>
    </row>
    <row r="21" spans="1:17" ht="6" customHeight="1">
      <c r="A21" s="846"/>
      <c r="B21" s="962"/>
      <c r="C21" s="984"/>
      <c r="D21" s="990"/>
      <c r="E21" s="956"/>
      <c r="F21" s="956"/>
      <c r="G21" s="956"/>
      <c r="H21" s="956"/>
      <c r="I21" s="956"/>
      <c r="J21" s="956"/>
      <c r="K21" s="962"/>
      <c r="L21" s="988"/>
      <c r="M21" s="988"/>
      <c r="N21" s="988"/>
      <c r="O21" s="988"/>
      <c r="P21" s="988"/>
      <c r="Q21" s="984"/>
    </row>
    <row r="22" spans="1:17" ht="16.5" customHeight="1">
      <c r="A22" s="846"/>
      <c r="B22" s="962"/>
      <c r="C22" s="984"/>
      <c r="D22" s="932" t="s">
        <v>6</v>
      </c>
      <c r="E22" s="955">
        <f>SUM(F22:J23)</f>
        <v>0</v>
      </c>
      <c r="F22" s="973">
        <v>0</v>
      </c>
      <c r="G22" s="973">
        <v>0</v>
      </c>
      <c r="H22" s="973">
        <v>0</v>
      </c>
      <c r="I22" s="973">
        <v>0</v>
      </c>
      <c r="J22" s="973">
        <v>0</v>
      </c>
      <c r="K22" s="962"/>
      <c r="L22" s="988"/>
      <c r="M22" s="988"/>
      <c r="N22" s="988"/>
      <c r="O22" s="988"/>
      <c r="P22" s="988"/>
      <c r="Q22" s="984"/>
    </row>
    <row r="23" spans="1:17" ht="8.25" customHeight="1" thickBot="1">
      <c r="A23" s="847"/>
      <c r="B23" s="963"/>
      <c r="C23" s="985"/>
      <c r="D23" s="932"/>
      <c r="E23" s="956"/>
      <c r="F23" s="973"/>
      <c r="G23" s="973"/>
      <c r="H23" s="973"/>
      <c r="I23" s="973"/>
      <c r="J23" s="973"/>
      <c r="K23" s="963"/>
      <c r="L23" s="989"/>
      <c r="M23" s="989"/>
      <c r="N23" s="989"/>
      <c r="O23" s="989"/>
      <c r="P23" s="989"/>
      <c r="Q23" s="985"/>
    </row>
    <row r="24" spans="1:17" ht="12.75" customHeight="1">
      <c r="A24" s="822"/>
      <c r="B24" s="783" t="s">
        <v>43</v>
      </c>
      <c r="C24" s="816"/>
      <c r="D24" s="1301" t="s">
        <v>249</v>
      </c>
      <c r="E24" s="1303">
        <f>SUM(F24:J25)</f>
        <v>1040</v>
      </c>
      <c r="F24" s="1303">
        <f>SUM(F20)</f>
        <v>240</v>
      </c>
      <c r="G24" s="1303">
        <f>SUM(G20)</f>
        <v>200</v>
      </c>
      <c r="H24" s="1299">
        <f>SUM(H20)</f>
        <v>200</v>
      </c>
      <c r="I24" s="1299">
        <f>SUM(I20)</f>
        <v>200</v>
      </c>
      <c r="J24" s="1299">
        <f>SUM(J20)</f>
        <v>200</v>
      </c>
      <c r="K24" s="981"/>
      <c r="L24" s="932"/>
      <c r="M24" s="932"/>
      <c r="N24" s="932"/>
      <c r="O24" s="932"/>
      <c r="P24" s="932"/>
      <c r="Q24" s="822"/>
    </row>
    <row r="25" spans="1:17" ht="9.75" customHeight="1">
      <c r="A25" s="822"/>
      <c r="B25" s="783"/>
      <c r="C25" s="816"/>
      <c r="D25" s="1302"/>
      <c r="E25" s="1304"/>
      <c r="F25" s="1304"/>
      <c r="G25" s="1304"/>
      <c r="H25" s="1300"/>
      <c r="I25" s="1300"/>
      <c r="J25" s="1300"/>
      <c r="K25" s="981"/>
      <c r="L25" s="932"/>
      <c r="M25" s="932"/>
      <c r="N25" s="932"/>
      <c r="O25" s="932"/>
      <c r="P25" s="932"/>
      <c r="Q25" s="822"/>
    </row>
    <row r="26" spans="1:17" ht="12" customHeight="1">
      <c r="A26" s="822"/>
      <c r="B26" s="783"/>
      <c r="C26" s="816"/>
      <c r="D26" s="38" t="s">
        <v>5</v>
      </c>
      <c r="E26" s="147">
        <f>SUM(F26:J26)</f>
        <v>1040</v>
      </c>
      <c r="F26" s="147">
        <f>SUM(F20)</f>
        <v>240</v>
      </c>
      <c r="G26" s="147">
        <f>SUM(G20)</f>
        <v>200</v>
      </c>
      <c r="H26" s="43">
        <f>SUM(H20)</f>
        <v>200</v>
      </c>
      <c r="I26" s="43">
        <f>SUM(I20)</f>
        <v>200</v>
      </c>
      <c r="J26" s="43">
        <f>SUM(J20)</f>
        <v>200</v>
      </c>
      <c r="K26" s="981"/>
      <c r="L26" s="932"/>
      <c r="M26" s="932"/>
      <c r="N26" s="932"/>
      <c r="O26" s="932"/>
      <c r="P26" s="932"/>
      <c r="Q26" s="822"/>
    </row>
    <row r="27" spans="1:17" ht="11.25" customHeight="1" thickBot="1">
      <c r="A27" s="822"/>
      <c r="B27" s="783"/>
      <c r="C27" s="816"/>
      <c r="D27" s="39" t="s">
        <v>6</v>
      </c>
      <c r="E27" s="44">
        <f>SUM(F27:J27)</f>
        <v>0</v>
      </c>
      <c r="F27" s="44">
        <v>0</v>
      </c>
      <c r="G27" s="44">
        <v>0</v>
      </c>
      <c r="H27" s="45">
        <v>0</v>
      </c>
      <c r="I27" s="45">
        <v>0</v>
      </c>
      <c r="J27" s="45">
        <v>0</v>
      </c>
      <c r="K27" s="981"/>
      <c r="L27" s="932"/>
      <c r="M27" s="932"/>
      <c r="N27" s="932"/>
      <c r="O27" s="932"/>
      <c r="P27" s="932"/>
      <c r="Q27" s="822"/>
    </row>
    <row r="28" spans="1:17" ht="11.25" customHeight="1">
      <c r="A28" s="8" t="s">
        <v>28</v>
      </c>
      <c r="B28" s="986" t="s">
        <v>81</v>
      </c>
      <c r="C28" s="914"/>
      <c r="D28" s="914"/>
      <c r="E28" s="914"/>
      <c r="F28" s="914"/>
      <c r="G28" s="914"/>
      <c r="H28" s="914"/>
      <c r="I28" s="914"/>
      <c r="J28" s="914"/>
      <c r="K28" s="914"/>
      <c r="L28" s="914"/>
      <c r="M28" s="914"/>
      <c r="N28" s="914"/>
      <c r="O28" s="914"/>
      <c r="P28" s="914"/>
      <c r="Q28" s="987"/>
    </row>
    <row r="29" spans="1:17" ht="24" customHeight="1">
      <c r="A29" s="758" t="s">
        <v>30</v>
      </c>
      <c r="B29" s="976" t="s">
        <v>47</v>
      </c>
      <c r="C29" s="822" t="s">
        <v>161</v>
      </c>
      <c r="D29" s="164" t="s">
        <v>249</v>
      </c>
      <c r="E29" s="8" t="s">
        <v>254</v>
      </c>
      <c r="F29" s="8" t="s">
        <v>243</v>
      </c>
      <c r="G29" s="8" t="s">
        <v>255</v>
      </c>
      <c r="H29" s="8" t="s">
        <v>255</v>
      </c>
      <c r="I29" s="8" t="s">
        <v>255</v>
      </c>
      <c r="J29" s="8" t="s">
        <v>255</v>
      </c>
      <c r="K29" s="902" t="s">
        <v>256</v>
      </c>
      <c r="L29" s="949" t="s">
        <v>236</v>
      </c>
      <c r="M29" s="949" t="s">
        <v>236</v>
      </c>
      <c r="N29" s="949" t="s">
        <v>236</v>
      </c>
      <c r="O29" s="949" t="s">
        <v>236</v>
      </c>
      <c r="P29" s="949" t="s">
        <v>236</v>
      </c>
      <c r="Q29" s="758" t="s">
        <v>136</v>
      </c>
    </row>
    <row r="30" spans="1:17" ht="16.5" customHeight="1">
      <c r="A30" s="846"/>
      <c r="B30" s="977"/>
      <c r="C30" s="978"/>
      <c r="D30" s="945" t="s">
        <v>5</v>
      </c>
      <c r="E30" s="955">
        <f>SUM(F30:J33)</f>
        <v>210</v>
      </c>
      <c r="F30" s="955">
        <v>70</v>
      </c>
      <c r="G30" s="955">
        <v>35</v>
      </c>
      <c r="H30" s="955">
        <v>35</v>
      </c>
      <c r="I30" s="955">
        <v>35</v>
      </c>
      <c r="J30" s="955">
        <v>35</v>
      </c>
      <c r="K30" s="984"/>
      <c r="L30" s="982"/>
      <c r="M30" s="982"/>
      <c r="N30" s="982"/>
      <c r="O30" s="982"/>
      <c r="P30" s="982"/>
      <c r="Q30" s="846"/>
    </row>
    <row r="31" spans="1:17" ht="1.5" customHeight="1">
      <c r="A31" s="846"/>
      <c r="B31" s="977"/>
      <c r="C31" s="978"/>
      <c r="D31" s="957"/>
      <c r="E31" s="958"/>
      <c r="F31" s="958"/>
      <c r="G31" s="958"/>
      <c r="H31" s="958"/>
      <c r="I31" s="958"/>
      <c r="J31" s="958"/>
      <c r="K31" s="985"/>
      <c r="L31" s="983"/>
      <c r="M31" s="983"/>
      <c r="N31" s="983"/>
      <c r="O31" s="983"/>
      <c r="P31" s="983"/>
      <c r="Q31" s="846"/>
    </row>
    <row r="32" spans="1:17" ht="16.5" customHeight="1">
      <c r="A32" s="846"/>
      <c r="B32" s="977"/>
      <c r="C32" s="978"/>
      <c r="D32" s="957"/>
      <c r="E32" s="958"/>
      <c r="F32" s="958"/>
      <c r="G32" s="958"/>
      <c r="H32" s="958"/>
      <c r="I32" s="958"/>
      <c r="J32" s="958"/>
      <c r="K32" s="900" t="s">
        <v>257</v>
      </c>
      <c r="L32" s="895" t="s">
        <v>236</v>
      </c>
      <c r="M32" s="895" t="s">
        <v>236</v>
      </c>
      <c r="N32" s="895" t="s">
        <v>236</v>
      </c>
      <c r="O32" s="895" t="s">
        <v>236</v>
      </c>
      <c r="P32" s="895" t="s">
        <v>236</v>
      </c>
      <c r="Q32" s="846"/>
    </row>
    <row r="33" spans="1:17" ht="16.5" customHeight="1" thickBot="1">
      <c r="A33" s="847"/>
      <c r="B33" s="977"/>
      <c r="C33" s="978"/>
      <c r="D33" s="1305"/>
      <c r="E33" s="1306"/>
      <c r="F33" s="1306"/>
      <c r="G33" s="1306"/>
      <c r="H33" s="1306"/>
      <c r="I33" s="1306"/>
      <c r="J33" s="1306"/>
      <c r="K33" s="900"/>
      <c r="L33" s="928"/>
      <c r="M33" s="928"/>
      <c r="N33" s="928"/>
      <c r="O33" s="928"/>
      <c r="P33" s="928"/>
      <c r="Q33" s="847"/>
    </row>
    <row r="34" spans="1:17" ht="10.5" customHeight="1">
      <c r="A34" s="822"/>
      <c r="B34" s="783" t="s">
        <v>33</v>
      </c>
      <c r="C34" s="816"/>
      <c r="D34" s="1301" t="s">
        <v>249</v>
      </c>
      <c r="E34" s="1303">
        <f>SUM(F34:J35)</f>
        <v>210</v>
      </c>
      <c r="F34" s="1303">
        <f>SUM(F36:F37)</f>
        <v>70</v>
      </c>
      <c r="G34" s="1303">
        <f>SUM(G36:G37)</f>
        <v>35</v>
      </c>
      <c r="H34" s="1299">
        <f>SUM(H36:H37)</f>
        <v>35</v>
      </c>
      <c r="I34" s="1299">
        <f>SUM(I36:I37)</f>
        <v>35</v>
      </c>
      <c r="J34" s="1299">
        <f>SUM(J36:J37)</f>
        <v>35</v>
      </c>
      <c r="K34" s="981"/>
      <c r="L34" s="932"/>
      <c r="M34" s="932"/>
      <c r="N34" s="932"/>
      <c r="O34" s="932"/>
      <c r="P34" s="932"/>
      <c r="Q34" s="822"/>
    </row>
    <row r="35" spans="1:17" ht="10.5" customHeight="1">
      <c r="A35" s="822"/>
      <c r="B35" s="783"/>
      <c r="C35" s="816"/>
      <c r="D35" s="1302"/>
      <c r="E35" s="1304"/>
      <c r="F35" s="1304"/>
      <c r="G35" s="1304"/>
      <c r="H35" s="1300"/>
      <c r="I35" s="1300"/>
      <c r="J35" s="1300"/>
      <c r="K35" s="981"/>
      <c r="L35" s="932"/>
      <c r="M35" s="932"/>
      <c r="N35" s="932"/>
      <c r="O35" s="932"/>
      <c r="P35" s="932"/>
      <c r="Q35" s="822"/>
    </row>
    <row r="36" spans="1:17" ht="10.5" customHeight="1">
      <c r="A36" s="822"/>
      <c r="B36" s="783"/>
      <c r="C36" s="816"/>
      <c r="D36" s="38" t="s">
        <v>5</v>
      </c>
      <c r="E36" s="147">
        <f>SUM(F36:J36)</f>
        <v>210</v>
      </c>
      <c r="F36" s="147">
        <f>SUM(F30)</f>
        <v>70</v>
      </c>
      <c r="G36" s="147">
        <f>SUM(G30)</f>
        <v>35</v>
      </c>
      <c r="H36" s="43">
        <f>SUM(H30)</f>
        <v>35</v>
      </c>
      <c r="I36" s="43">
        <f>SUM(I30)</f>
        <v>35</v>
      </c>
      <c r="J36" s="43">
        <f>SUM(J30)</f>
        <v>35</v>
      </c>
      <c r="K36" s="981"/>
      <c r="L36" s="932"/>
      <c r="M36" s="932"/>
      <c r="N36" s="932"/>
      <c r="O36" s="932"/>
      <c r="P36" s="932"/>
      <c r="Q36" s="822"/>
    </row>
    <row r="37" spans="1:17" ht="10.5" customHeight="1" thickBot="1">
      <c r="A37" s="822"/>
      <c r="B37" s="783"/>
      <c r="C37" s="816"/>
      <c r="D37" s="39" t="s">
        <v>6</v>
      </c>
      <c r="E37" s="147">
        <f>SUM(F37:J37)</f>
        <v>0</v>
      </c>
      <c r="F37" s="44">
        <f>SUM(F32)</f>
        <v>0</v>
      </c>
      <c r="G37" s="44">
        <f>SUM(G32)</f>
        <v>0</v>
      </c>
      <c r="H37" s="45">
        <f>SUM(H32)</f>
        <v>0</v>
      </c>
      <c r="I37" s="45">
        <f>SUM(I32)</f>
        <v>0</v>
      </c>
      <c r="J37" s="45">
        <f>SUM(J32)</f>
        <v>0</v>
      </c>
      <c r="K37" s="981"/>
      <c r="L37" s="932"/>
      <c r="M37" s="932"/>
      <c r="N37" s="932"/>
      <c r="O37" s="932"/>
      <c r="P37" s="932"/>
      <c r="Q37" s="822"/>
    </row>
    <row r="38" spans="1:17" ht="15.75" customHeight="1" thickBot="1">
      <c r="A38" s="8" t="s">
        <v>34</v>
      </c>
      <c r="B38" s="912" t="s">
        <v>147</v>
      </c>
      <c r="C38" s="913"/>
      <c r="D38" s="913"/>
      <c r="E38" s="913"/>
      <c r="F38" s="913"/>
      <c r="G38" s="913"/>
      <c r="H38" s="913"/>
      <c r="I38" s="913"/>
      <c r="J38" s="913"/>
      <c r="K38" s="913"/>
      <c r="L38" s="913"/>
      <c r="M38" s="913"/>
      <c r="N38" s="913"/>
      <c r="O38" s="913"/>
      <c r="P38" s="913"/>
      <c r="Q38" s="915"/>
    </row>
    <row r="39" spans="1:17" ht="23.25" customHeight="1">
      <c r="A39" s="758" t="s">
        <v>36</v>
      </c>
      <c r="B39" s="976" t="s">
        <v>83</v>
      </c>
      <c r="C39" s="822" t="s">
        <v>161</v>
      </c>
      <c r="D39" s="120" t="s">
        <v>207</v>
      </c>
      <c r="E39" s="8" t="s">
        <v>208</v>
      </c>
      <c r="F39" s="8" t="s">
        <v>209</v>
      </c>
      <c r="G39" s="8" t="s">
        <v>210</v>
      </c>
      <c r="H39" s="8" t="s">
        <v>211</v>
      </c>
      <c r="I39" s="8" t="s">
        <v>211</v>
      </c>
      <c r="J39" s="8" t="s">
        <v>211</v>
      </c>
      <c r="K39" s="948" t="s">
        <v>258</v>
      </c>
      <c r="L39" s="163"/>
      <c r="M39" s="163"/>
      <c r="N39" s="163"/>
      <c r="O39" s="163"/>
      <c r="P39" s="163"/>
      <c r="Q39" s="114"/>
    </row>
    <row r="40" spans="1:17" ht="11.25" customHeight="1">
      <c r="A40" s="846"/>
      <c r="B40" s="977"/>
      <c r="C40" s="978"/>
      <c r="D40" s="979" t="s">
        <v>212</v>
      </c>
      <c r="E40" s="955">
        <f>SUM(F40:J41)</f>
        <v>546.5</v>
      </c>
      <c r="F40" s="955">
        <f>SUM(F48,F45,F51)</f>
        <v>356.5</v>
      </c>
      <c r="G40" s="955">
        <f>SUM(G48,G45,G51)</f>
        <v>100</v>
      </c>
      <c r="H40" s="955">
        <f>SUM(H48,H45,H51)</f>
        <v>30</v>
      </c>
      <c r="I40" s="955">
        <f>SUM(I48,I45,I51)</f>
        <v>30</v>
      </c>
      <c r="J40" s="955">
        <f>SUM(J48,J45,J51)</f>
        <v>30</v>
      </c>
      <c r="K40" s="960"/>
      <c r="L40" s="971">
        <v>100</v>
      </c>
      <c r="M40" s="971">
        <v>100</v>
      </c>
      <c r="N40" s="971">
        <v>100</v>
      </c>
      <c r="O40" s="971">
        <v>100</v>
      </c>
      <c r="P40" s="971">
        <v>100</v>
      </c>
      <c r="Q40" s="974" t="s">
        <v>132</v>
      </c>
    </row>
    <row r="41" spans="1:17" ht="6" customHeight="1">
      <c r="A41" s="846"/>
      <c r="B41" s="977"/>
      <c r="C41" s="978"/>
      <c r="D41" s="980"/>
      <c r="E41" s="956"/>
      <c r="F41" s="956"/>
      <c r="G41" s="956"/>
      <c r="H41" s="956"/>
      <c r="I41" s="956"/>
      <c r="J41" s="956"/>
      <c r="K41" s="960"/>
      <c r="L41" s="972"/>
      <c r="M41" s="972"/>
      <c r="N41" s="972"/>
      <c r="O41" s="972"/>
      <c r="P41" s="972"/>
      <c r="Q41" s="975"/>
    </row>
    <row r="42" spans="1:17" ht="11.25" customHeight="1">
      <c r="A42" s="846"/>
      <c r="B42" s="977"/>
      <c r="C42" s="978"/>
      <c r="D42" s="980"/>
      <c r="E42" s="955">
        <f>SUM(F42:J43)</f>
        <v>755.4</v>
      </c>
      <c r="F42" s="973">
        <f>SUM(F49,F46,F52)</f>
        <v>465.4</v>
      </c>
      <c r="G42" s="951">
        <f>SUM(G49,G46,G52)</f>
        <v>200</v>
      </c>
      <c r="H42" s="951">
        <f>SUM(H49,H46,H52)</f>
        <v>30</v>
      </c>
      <c r="I42" s="951">
        <f>SUM(I49,I46,I52)</f>
        <v>30</v>
      </c>
      <c r="J42" s="951">
        <f>SUM(J49,J46,J52)</f>
        <v>30</v>
      </c>
      <c r="K42" s="960"/>
      <c r="L42" s="971">
        <v>100</v>
      </c>
      <c r="M42" s="971">
        <v>100</v>
      </c>
      <c r="N42" s="971">
        <v>100</v>
      </c>
      <c r="O42" s="971">
        <v>100</v>
      </c>
      <c r="P42" s="971">
        <v>100</v>
      </c>
      <c r="Q42" s="863" t="s">
        <v>131</v>
      </c>
    </row>
    <row r="43" spans="1:17" ht="6" customHeight="1" thickBot="1">
      <c r="A43" s="847"/>
      <c r="B43" s="977"/>
      <c r="C43" s="978"/>
      <c r="D43" s="1298"/>
      <c r="E43" s="958"/>
      <c r="F43" s="951"/>
      <c r="G43" s="952"/>
      <c r="H43" s="952"/>
      <c r="I43" s="952"/>
      <c r="J43" s="952"/>
      <c r="K43" s="961"/>
      <c r="L43" s="972"/>
      <c r="M43" s="972"/>
      <c r="N43" s="972"/>
      <c r="O43" s="972"/>
      <c r="P43" s="972"/>
      <c r="Q43" s="863"/>
    </row>
    <row r="44" spans="1:17" ht="20.25" customHeight="1">
      <c r="A44" s="758" t="s">
        <v>82</v>
      </c>
      <c r="B44" s="902" t="s">
        <v>84</v>
      </c>
      <c r="C44" s="906" t="s">
        <v>161</v>
      </c>
      <c r="D44" s="120" t="s">
        <v>207</v>
      </c>
      <c r="E44" s="169">
        <f>SUM(F44:J44)</f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966" t="s">
        <v>258</v>
      </c>
      <c r="L44" s="177"/>
      <c r="M44" s="177"/>
      <c r="N44" s="177"/>
      <c r="O44" s="177"/>
      <c r="P44" s="177"/>
      <c r="Q44" s="168"/>
    </row>
    <row r="45" spans="1:17" ht="22.5" customHeight="1">
      <c r="A45" s="846"/>
      <c r="B45" s="962"/>
      <c r="C45" s="964"/>
      <c r="D45" s="150" t="s">
        <v>5</v>
      </c>
      <c r="E45" s="153">
        <f aca="true" t="shared" si="1" ref="E45:E52">SUM(F45:J45)</f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967"/>
      <c r="L45" s="177">
        <v>0</v>
      </c>
      <c r="M45" s="177">
        <v>0</v>
      </c>
      <c r="N45" s="177">
        <v>0</v>
      </c>
      <c r="O45" s="177">
        <v>0</v>
      </c>
      <c r="P45" s="177">
        <v>0</v>
      </c>
      <c r="Q45" s="115" t="s">
        <v>129</v>
      </c>
    </row>
    <row r="46" spans="1:17" ht="22.5" customHeight="1" thickBot="1">
      <c r="A46" s="847"/>
      <c r="B46" s="963"/>
      <c r="C46" s="965"/>
      <c r="D46" s="150" t="s">
        <v>5</v>
      </c>
      <c r="E46" s="153">
        <f t="shared" si="1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968"/>
      <c r="L46" s="177">
        <v>0</v>
      </c>
      <c r="M46" s="177">
        <v>0</v>
      </c>
      <c r="N46" s="177">
        <v>0</v>
      </c>
      <c r="O46" s="177">
        <v>0</v>
      </c>
      <c r="P46" s="177">
        <v>0</v>
      </c>
      <c r="Q46" s="115" t="s">
        <v>130</v>
      </c>
    </row>
    <row r="47" spans="1:17" ht="22.5" customHeight="1">
      <c r="A47" s="758" t="s">
        <v>85</v>
      </c>
      <c r="B47" s="902" t="s">
        <v>86</v>
      </c>
      <c r="C47" s="906" t="s">
        <v>161</v>
      </c>
      <c r="D47" s="120" t="s">
        <v>207</v>
      </c>
      <c r="E47" s="169">
        <f aca="true" t="shared" si="2" ref="E47:J47">SUM(E48:E49)</f>
        <v>242.9</v>
      </c>
      <c r="F47" s="169">
        <f t="shared" si="2"/>
        <v>62.9</v>
      </c>
      <c r="G47" s="169">
        <f t="shared" si="2"/>
        <v>0</v>
      </c>
      <c r="H47" s="169">
        <f t="shared" si="2"/>
        <v>60</v>
      </c>
      <c r="I47" s="169">
        <f t="shared" si="2"/>
        <v>60</v>
      </c>
      <c r="J47" s="169">
        <f t="shared" si="2"/>
        <v>60</v>
      </c>
      <c r="K47" s="966" t="s">
        <v>258</v>
      </c>
      <c r="L47" s="177"/>
      <c r="M47" s="177"/>
      <c r="N47" s="177"/>
      <c r="O47" s="177"/>
      <c r="P47" s="177"/>
      <c r="Q47" s="115"/>
    </row>
    <row r="48" spans="1:17" ht="22.5" customHeight="1">
      <c r="A48" s="846"/>
      <c r="B48" s="962"/>
      <c r="C48" s="964"/>
      <c r="D48" s="150" t="s">
        <v>5</v>
      </c>
      <c r="E48" s="153">
        <f t="shared" si="1"/>
        <v>121.5</v>
      </c>
      <c r="F48" s="141">
        <v>31.5</v>
      </c>
      <c r="G48" s="147">
        <f>30-30</f>
        <v>0</v>
      </c>
      <c r="H48" s="147">
        <v>30</v>
      </c>
      <c r="I48" s="147">
        <v>30</v>
      </c>
      <c r="J48" s="147">
        <v>30</v>
      </c>
      <c r="K48" s="967"/>
      <c r="L48" s="177">
        <v>100</v>
      </c>
      <c r="M48" s="177">
        <v>0</v>
      </c>
      <c r="N48" s="177">
        <v>100</v>
      </c>
      <c r="O48" s="177">
        <v>100</v>
      </c>
      <c r="P48" s="177">
        <v>100</v>
      </c>
      <c r="Q48" s="115" t="s">
        <v>129</v>
      </c>
    </row>
    <row r="49" spans="1:17" ht="22.5" customHeight="1" thickBot="1">
      <c r="A49" s="847"/>
      <c r="B49" s="963"/>
      <c r="C49" s="965"/>
      <c r="D49" s="150" t="s">
        <v>5</v>
      </c>
      <c r="E49" s="153">
        <f t="shared" si="1"/>
        <v>121.4</v>
      </c>
      <c r="F49" s="147">
        <v>31.4</v>
      </c>
      <c r="G49" s="147">
        <f>30-30</f>
        <v>0</v>
      </c>
      <c r="H49" s="147">
        <v>30</v>
      </c>
      <c r="I49" s="147">
        <v>30</v>
      </c>
      <c r="J49" s="147">
        <v>30</v>
      </c>
      <c r="K49" s="968"/>
      <c r="L49" s="177">
        <v>100</v>
      </c>
      <c r="M49" s="177">
        <v>0</v>
      </c>
      <c r="N49" s="177">
        <v>100</v>
      </c>
      <c r="O49" s="177">
        <v>100</v>
      </c>
      <c r="P49" s="177">
        <v>100</v>
      </c>
      <c r="Q49" s="115" t="s">
        <v>130</v>
      </c>
    </row>
    <row r="50" spans="1:17" ht="22.5" customHeight="1">
      <c r="A50" s="758" t="s">
        <v>138</v>
      </c>
      <c r="B50" s="902" t="s">
        <v>139</v>
      </c>
      <c r="C50" s="906" t="s">
        <v>161</v>
      </c>
      <c r="D50" s="120" t="s">
        <v>207</v>
      </c>
      <c r="E50" s="142">
        <v>1059</v>
      </c>
      <c r="F50" s="171">
        <v>759</v>
      </c>
      <c r="G50" s="171">
        <v>300</v>
      </c>
      <c r="H50" s="34">
        <v>0</v>
      </c>
      <c r="I50" s="34">
        <v>0</v>
      </c>
      <c r="J50" s="34">
        <v>0</v>
      </c>
      <c r="K50" s="966" t="s">
        <v>258</v>
      </c>
      <c r="L50" s="177"/>
      <c r="M50" s="177"/>
      <c r="N50" s="177"/>
      <c r="O50" s="177"/>
      <c r="P50" s="177"/>
      <c r="Q50" s="115"/>
    </row>
    <row r="51" spans="1:17" ht="21.75" customHeight="1">
      <c r="A51" s="846"/>
      <c r="B51" s="962"/>
      <c r="C51" s="964"/>
      <c r="D51" s="145" t="s">
        <v>5</v>
      </c>
      <c r="E51" s="151">
        <f t="shared" si="1"/>
        <v>425</v>
      </c>
      <c r="F51" s="156">
        <v>325</v>
      </c>
      <c r="G51" s="156">
        <v>100</v>
      </c>
      <c r="H51" s="156">
        <v>0</v>
      </c>
      <c r="I51" s="156">
        <v>0</v>
      </c>
      <c r="J51" s="156">
        <v>0</v>
      </c>
      <c r="K51" s="967"/>
      <c r="L51" s="177">
        <v>100</v>
      </c>
      <c r="M51" s="177">
        <v>100</v>
      </c>
      <c r="N51" s="177">
        <v>0</v>
      </c>
      <c r="O51" s="177">
        <v>0</v>
      </c>
      <c r="P51" s="177">
        <v>0</v>
      </c>
      <c r="Q51" s="115" t="s">
        <v>129</v>
      </c>
    </row>
    <row r="52" spans="1:17" ht="21.75" customHeight="1">
      <c r="A52" s="847"/>
      <c r="B52" s="963"/>
      <c r="C52" s="965"/>
      <c r="D52" s="145" t="s">
        <v>5</v>
      </c>
      <c r="E52" s="151">
        <f t="shared" si="1"/>
        <v>634</v>
      </c>
      <c r="F52" s="156">
        <v>434</v>
      </c>
      <c r="G52" s="156">
        <v>200</v>
      </c>
      <c r="H52" s="156">
        <v>0</v>
      </c>
      <c r="I52" s="156">
        <v>0</v>
      </c>
      <c r="J52" s="156">
        <v>0</v>
      </c>
      <c r="K52" s="968"/>
      <c r="L52" s="177">
        <v>100</v>
      </c>
      <c r="M52" s="177">
        <v>100</v>
      </c>
      <c r="N52" s="177">
        <v>0</v>
      </c>
      <c r="O52" s="177">
        <v>0</v>
      </c>
      <c r="P52" s="177">
        <v>0</v>
      </c>
      <c r="Q52" s="115" t="s">
        <v>130</v>
      </c>
    </row>
    <row r="53" spans="1:17" ht="6.75" customHeight="1">
      <c r="A53" s="758" t="s">
        <v>64</v>
      </c>
      <c r="B53" s="902" t="s">
        <v>89</v>
      </c>
      <c r="C53" s="906" t="s">
        <v>161</v>
      </c>
      <c r="D53" s="969" t="s">
        <v>259</v>
      </c>
      <c r="E53" s="897">
        <f>SUM(F53:J56)</f>
        <v>1520.9</v>
      </c>
      <c r="F53" s="897">
        <f>SUM(F59,F61,F64)</f>
        <v>260.8</v>
      </c>
      <c r="G53" s="897">
        <f>SUM(G56:G57)</f>
        <v>419.3</v>
      </c>
      <c r="H53" s="897">
        <f>SUM(H56:H57)</f>
        <v>80</v>
      </c>
      <c r="I53" s="897">
        <f>SUM(I56:I57)</f>
        <v>80</v>
      </c>
      <c r="J53" s="897">
        <f>SUM(J56:J57)</f>
        <v>80</v>
      </c>
      <c r="K53" s="948"/>
      <c r="L53" s="895"/>
      <c r="M53" s="895"/>
      <c r="N53" s="895"/>
      <c r="O53" s="895"/>
      <c r="P53" s="895"/>
      <c r="Q53" s="863"/>
    </row>
    <row r="54" spans="1:17" ht="6.75" customHeight="1">
      <c r="A54" s="784"/>
      <c r="B54" s="903"/>
      <c r="C54" s="731"/>
      <c r="D54" s="970"/>
      <c r="E54" s="898"/>
      <c r="F54" s="898"/>
      <c r="G54" s="898"/>
      <c r="H54" s="898"/>
      <c r="I54" s="898"/>
      <c r="J54" s="898"/>
      <c r="K54" s="960"/>
      <c r="L54" s="928"/>
      <c r="M54" s="928"/>
      <c r="N54" s="928"/>
      <c r="O54" s="928"/>
      <c r="P54" s="928"/>
      <c r="Q54" s="851"/>
    </row>
    <row r="55" spans="1:17" ht="6.75" customHeight="1">
      <c r="A55" s="784"/>
      <c r="B55" s="903"/>
      <c r="C55" s="731"/>
      <c r="D55" s="970"/>
      <c r="E55" s="899"/>
      <c r="F55" s="899"/>
      <c r="G55" s="899"/>
      <c r="H55" s="899"/>
      <c r="I55" s="899"/>
      <c r="J55" s="899"/>
      <c r="K55" s="960"/>
      <c r="L55" s="928"/>
      <c r="M55" s="928"/>
      <c r="N55" s="928"/>
      <c r="O55" s="928"/>
      <c r="P55" s="928"/>
      <c r="Q55" s="851"/>
    </row>
    <row r="56" spans="1:17" ht="17.25" customHeight="1">
      <c r="A56" s="784"/>
      <c r="B56" s="903"/>
      <c r="C56" s="731"/>
      <c r="D56" s="119" t="s">
        <v>5</v>
      </c>
      <c r="E56" s="143">
        <f>E53</f>
        <v>1520.9</v>
      </c>
      <c r="F56" s="143">
        <f>F53</f>
        <v>260.8</v>
      </c>
      <c r="G56" s="143">
        <f>SUM(G59,G61,G64)</f>
        <v>100</v>
      </c>
      <c r="H56" s="143">
        <f>H61</f>
        <v>80</v>
      </c>
      <c r="I56" s="143">
        <f>I61</f>
        <v>80</v>
      </c>
      <c r="J56" s="143">
        <f>J61</f>
        <v>80</v>
      </c>
      <c r="K56" s="960"/>
      <c r="L56" s="928"/>
      <c r="M56" s="928"/>
      <c r="N56" s="928"/>
      <c r="O56" s="928"/>
      <c r="P56" s="928"/>
      <c r="Q56" s="851"/>
    </row>
    <row r="57" spans="1:17" ht="17.25" customHeight="1">
      <c r="A57" s="729"/>
      <c r="B57" s="905"/>
      <c r="C57" s="732"/>
      <c r="D57" s="147" t="s">
        <v>6</v>
      </c>
      <c r="E57" s="147">
        <f aca="true" t="shared" si="3" ref="E57:J57">E67</f>
        <v>319.3</v>
      </c>
      <c r="F57" s="147">
        <f t="shared" si="3"/>
        <v>0</v>
      </c>
      <c r="G57" s="147">
        <f t="shared" si="3"/>
        <v>319.3</v>
      </c>
      <c r="H57" s="147">
        <f t="shared" si="3"/>
        <v>0</v>
      </c>
      <c r="I57" s="147">
        <f t="shared" si="3"/>
        <v>0</v>
      </c>
      <c r="J57" s="147">
        <f t="shared" si="3"/>
        <v>0</v>
      </c>
      <c r="K57" s="961"/>
      <c r="L57" s="928"/>
      <c r="M57" s="928"/>
      <c r="N57" s="928"/>
      <c r="O57" s="928"/>
      <c r="P57" s="928"/>
      <c r="Q57" s="851"/>
    </row>
    <row r="58" spans="1:17" ht="24.75" customHeight="1">
      <c r="A58" s="758" t="s">
        <v>87</v>
      </c>
      <c r="B58" s="902" t="s">
        <v>84</v>
      </c>
      <c r="C58" s="906" t="s">
        <v>161</v>
      </c>
      <c r="D58" s="137" t="s">
        <v>207</v>
      </c>
      <c r="E58" s="144">
        <f aca="true" t="shared" si="4" ref="E58:J58">E59</f>
        <v>104.4</v>
      </c>
      <c r="F58" s="144">
        <f t="shared" si="4"/>
        <v>104.4</v>
      </c>
      <c r="G58" s="144">
        <f t="shared" si="4"/>
        <v>0</v>
      </c>
      <c r="H58" s="144">
        <f t="shared" si="4"/>
        <v>0</v>
      </c>
      <c r="I58" s="144">
        <f t="shared" si="4"/>
        <v>0</v>
      </c>
      <c r="J58" s="144">
        <f t="shared" si="4"/>
        <v>0</v>
      </c>
      <c r="K58" s="911" t="s">
        <v>261</v>
      </c>
      <c r="L58" s="895" t="s">
        <v>236</v>
      </c>
      <c r="M58" s="895" t="s">
        <v>213</v>
      </c>
      <c r="N58" s="895" t="s">
        <v>213</v>
      </c>
      <c r="O58" s="895" t="s">
        <v>213</v>
      </c>
      <c r="P58" s="895" t="s">
        <v>213</v>
      </c>
      <c r="Q58" s="953" t="s">
        <v>51</v>
      </c>
    </row>
    <row r="59" spans="1:17" ht="11.25" customHeight="1">
      <c r="A59" s="728"/>
      <c r="B59" s="904"/>
      <c r="C59" s="731"/>
      <c r="D59" s="945" t="s">
        <v>5</v>
      </c>
      <c r="E59" s="958">
        <f>SUM(F59:J60)</f>
        <v>104.4</v>
      </c>
      <c r="F59" s="959">
        <v>104.4</v>
      </c>
      <c r="G59" s="954">
        <v>0</v>
      </c>
      <c r="H59" s="954">
        <v>0</v>
      </c>
      <c r="I59" s="954">
        <v>0</v>
      </c>
      <c r="J59" s="954">
        <v>0</v>
      </c>
      <c r="K59" s="911"/>
      <c r="L59" s="928"/>
      <c r="M59" s="928"/>
      <c r="N59" s="928"/>
      <c r="O59" s="928"/>
      <c r="P59" s="928"/>
      <c r="Q59" s="896"/>
    </row>
    <row r="60" spans="1:17" ht="12.75" customHeight="1" thickBot="1">
      <c r="A60" s="729"/>
      <c r="B60" s="905"/>
      <c r="C60" s="732"/>
      <c r="D60" s="990"/>
      <c r="E60" s="956"/>
      <c r="F60" s="931"/>
      <c r="G60" s="952"/>
      <c r="H60" s="952"/>
      <c r="I60" s="952"/>
      <c r="J60" s="952"/>
      <c r="K60" s="911"/>
      <c r="L60" s="928"/>
      <c r="M60" s="928"/>
      <c r="N60" s="928"/>
      <c r="O60" s="928"/>
      <c r="P60" s="928"/>
      <c r="Q60" s="896"/>
    </row>
    <row r="61" spans="1:17" ht="22.5" customHeight="1">
      <c r="A61" s="758" t="s">
        <v>88</v>
      </c>
      <c r="B61" s="902" t="s">
        <v>86</v>
      </c>
      <c r="C61" s="906" t="s">
        <v>161</v>
      </c>
      <c r="D61" s="120" t="s">
        <v>207</v>
      </c>
      <c r="E61" s="143">
        <f aca="true" t="shared" si="5" ref="E61:J61">E62</f>
        <v>332.8</v>
      </c>
      <c r="F61" s="143">
        <f t="shared" si="5"/>
        <v>92.8</v>
      </c>
      <c r="G61" s="143">
        <f t="shared" si="5"/>
        <v>0</v>
      </c>
      <c r="H61" s="143">
        <f t="shared" si="5"/>
        <v>80</v>
      </c>
      <c r="I61" s="143">
        <f t="shared" si="5"/>
        <v>80</v>
      </c>
      <c r="J61" s="143">
        <f t="shared" si="5"/>
        <v>80</v>
      </c>
      <c r="K61" s="911" t="s">
        <v>261</v>
      </c>
      <c r="L61" s="895" t="s">
        <v>236</v>
      </c>
      <c r="M61" s="895" t="s">
        <v>213</v>
      </c>
      <c r="N61" s="895" t="s">
        <v>236</v>
      </c>
      <c r="O61" s="895" t="s">
        <v>236</v>
      </c>
      <c r="P61" s="895" t="s">
        <v>236</v>
      </c>
      <c r="Q61" s="953" t="s">
        <v>51</v>
      </c>
    </row>
    <row r="62" spans="1:17" ht="12" customHeight="1">
      <c r="A62" s="728"/>
      <c r="B62" s="904"/>
      <c r="C62" s="731"/>
      <c r="D62" s="945" t="s">
        <v>5</v>
      </c>
      <c r="E62" s="955">
        <f>SUM(F62:J63)</f>
        <v>332.8</v>
      </c>
      <c r="F62" s="930">
        <v>92.8</v>
      </c>
      <c r="G62" s="951">
        <f>80-80</f>
        <v>0</v>
      </c>
      <c r="H62" s="951">
        <v>80</v>
      </c>
      <c r="I62" s="951">
        <v>80</v>
      </c>
      <c r="J62" s="951">
        <v>80</v>
      </c>
      <c r="K62" s="911"/>
      <c r="L62" s="928"/>
      <c r="M62" s="928"/>
      <c r="N62" s="928"/>
      <c r="O62" s="928"/>
      <c r="P62" s="928"/>
      <c r="Q62" s="896"/>
    </row>
    <row r="63" spans="1:17" ht="12.75" customHeight="1" thickBot="1">
      <c r="A63" s="729"/>
      <c r="B63" s="905"/>
      <c r="C63" s="732"/>
      <c r="D63" s="990"/>
      <c r="E63" s="956"/>
      <c r="F63" s="931"/>
      <c r="G63" s="952"/>
      <c r="H63" s="952"/>
      <c r="I63" s="952"/>
      <c r="J63" s="952"/>
      <c r="K63" s="911"/>
      <c r="L63" s="928"/>
      <c r="M63" s="928"/>
      <c r="N63" s="928"/>
      <c r="O63" s="928"/>
      <c r="P63" s="928"/>
      <c r="Q63" s="896"/>
    </row>
    <row r="64" spans="1:17" ht="21" customHeight="1">
      <c r="A64" s="758" t="s">
        <v>140</v>
      </c>
      <c r="B64" s="902" t="s">
        <v>139</v>
      </c>
      <c r="C64" s="906" t="s">
        <v>161</v>
      </c>
      <c r="D64" s="120" t="s">
        <v>207</v>
      </c>
      <c r="E64" s="169">
        <f aca="true" t="shared" si="6" ref="E64:J64">E65</f>
        <v>163.6</v>
      </c>
      <c r="F64" s="169">
        <f t="shared" si="6"/>
        <v>63.6</v>
      </c>
      <c r="G64" s="169">
        <f>G65</f>
        <v>100</v>
      </c>
      <c r="H64" s="169">
        <f t="shared" si="6"/>
        <v>0</v>
      </c>
      <c r="I64" s="169">
        <f t="shared" si="6"/>
        <v>0</v>
      </c>
      <c r="J64" s="169">
        <f t="shared" si="6"/>
        <v>0</v>
      </c>
      <c r="K64" s="948" t="s">
        <v>261</v>
      </c>
      <c r="L64" s="949" t="s">
        <v>236</v>
      </c>
      <c r="M64" s="949" t="s">
        <v>236</v>
      </c>
      <c r="N64" s="949" t="s">
        <v>213</v>
      </c>
      <c r="O64" s="949" t="s">
        <v>213</v>
      </c>
      <c r="P64" s="949" t="s">
        <v>213</v>
      </c>
      <c r="Q64" s="758" t="s">
        <v>51</v>
      </c>
    </row>
    <row r="65" spans="1:17" ht="13.5" customHeight="1">
      <c r="A65" s="938"/>
      <c r="B65" s="938"/>
      <c r="C65" s="938"/>
      <c r="D65" s="160" t="s">
        <v>5</v>
      </c>
      <c r="E65" s="154">
        <f>SUM(F65:J65)</f>
        <v>163.6</v>
      </c>
      <c r="F65" s="162">
        <v>63.6</v>
      </c>
      <c r="G65" s="162">
        <v>100</v>
      </c>
      <c r="H65" s="162">
        <v>0</v>
      </c>
      <c r="I65" s="162">
        <v>0</v>
      </c>
      <c r="J65" s="162">
        <v>0</v>
      </c>
      <c r="K65" s="938"/>
      <c r="L65" s="938"/>
      <c r="M65" s="950"/>
      <c r="N65" s="938"/>
      <c r="O65" s="950"/>
      <c r="P65" s="950"/>
      <c r="Q65" s="938"/>
    </row>
    <row r="66" spans="1:17" ht="67.5" customHeight="1">
      <c r="A66" s="176" t="s">
        <v>292</v>
      </c>
      <c r="B66" s="140" t="s">
        <v>289</v>
      </c>
      <c r="C66" s="939" t="s">
        <v>161</v>
      </c>
      <c r="D66" s="139" t="s">
        <v>249</v>
      </c>
      <c r="E66" s="153">
        <f aca="true" t="shared" si="7" ref="E66:J66">E67+E68</f>
        <v>319.3</v>
      </c>
      <c r="F66" s="153">
        <f t="shared" si="7"/>
        <v>0</v>
      </c>
      <c r="G66" s="153">
        <f t="shared" si="7"/>
        <v>319.3</v>
      </c>
      <c r="H66" s="153">
        <f t="shared" si="7"/>
        <v>0</v>
      </c>
      <c r="I66" s="153">
        <f t="shared" si="7"/>
        <v>0</v>
      </c>
      <c r="J66" s="153">
        <f t="shared" si="7"/>
        <v>0</v>
      </c>
      <c r="K66" s="942" t="s">
        <v>291</v>
      </c>
      <c r="L66" s="945">
        <v>0</v>
      </c>
      <c r="M66" s="945">
        <v>100</v>
      </c>
      <c r="N66" s="945">
        <v>0</v>
      </c>
      <c r="O66" s="945">
        <v>0</v>
      </c>
      <c r="P66" s="945">
        <v>0</v>
      </c>
      <c r="Q66" s="945" t="s">
        <v>51</v>
      </c>
    </row>
    <row r="67" spans="1:17" ht="157.5" customHeight="1">
      <c r="A67" s="176" t="s">
        <v>293</v>
      </c>
      <c r="B67" s="170" t="s">
        <v>290</v>
      </c>
      <c r="C67" s="940"/>
      <c r="D67" s="150" t="s">
        <v>6</v>
      </c>
      <c r="E67" s="153">
        <f>F67+G67+H67+I67+J67</f>
        <v>319.3</v>
      </c>
      <c r="F67" s="153">
        <v>0</v>
      </c>
      <c r="G67" s="153">
        <v>319.3</v>
      </c>
      <c r="H67" s="153">
        <v>0</v>
      </c>
      <c r="I67" s="153">
        <v>0</v>
      </c>
      <c r="J67" s="153">
        <v>0</v>
      </c>
      <c r="K67" s="943"/>
      <c r="L67" s="946"/>
      <c r="M67" s="946"/>
      <c r="N67" s="946"/>
      <c r="O67" s="946"/>
      <c r="P67" s="946"/>
      <c r="Q67" s="946"/>
    </row>
    <row r="68" spans="1:17" ht="24" customHeight="1">
      <c r="A68" s="148" t="s">
        <v>294</v>
      </c>
      <c r="B68" s="170" t="s">
        <v>204</v>
      </c>
      <c r="C68" s="941"/>
      <c r="D68" s="150" t="s">
        <v>5</v>
      </c>
      <c r="E68" s="153">
        <f>F68+G68+H68+I68+J68</f>
        <v>0</v>
      </c>
      <c r="F68" s="153">
        <v>0</v>
      </c>
      <c r="G68" s="153">
        <v>0</v>
      </c>
      <c r="H68" s="153">
        <v>0</v>
      </c>
      <c r="I68" s="153">
        <v>0</v>
      </c>
      <c r="J68" s="153">
        <v>0</v>
      </c>
      <c r="K68" s="944"/>
      <c r="L68" s="947"/>
      <c r="M68" s="947"/>
      <c r="N68" s="947"/>
      <c r="O68" s="947"/>
      <c r="P68" s="947"/>
      <c r="Q68" s="947"/>
    </row>
    <row r="69" spans="1:17" ht="6.75" customHeight="1">
      <c r="A69" s="758" t="s">
        <v>90</v>
      </c>
      <c r="B69" s="902" t="s">
        <v>92</v>
      </c>
      <c r="C69" s="906" t="s">
        <v>161</v>
      </c>
      <c r="D69" s="908" t="s">
        <v>224</v>
      </c>
      <c r="E69" s="935">
        <f>SUM(F69:J72)</f>
        <v>880.8</v>
      </c>
      <c r="F69" s="935">
        <f>SUM(F76,F79,F80)</f>
        <v>800.8</v>
      </c>
      <c r="G69" s="935">
        <f>SUM(G76,G79)</f>
        <v>20</v>
      </c>
      <c r="H69" s="935">
        <f>SUM(H76,H79)</f>
        <v>20</v>
      </c>
      <c r="I69" s="935">
        <f>SUM(I76,I79)</f>
        <v>20</v>
      </c>
      <c r="J69" s="935">
        <f>SUM(J76,J79)</f>
        <v>20</v>
      </c>
      <c r="K69" s="900"/>
      <c r="L69" s="895"/>
      <c r="M69" s="895"/>
      <c r="N69" s="895"/>
      <c r="O69" s="895"/>
      <c r="P69" s="895"/>
      <c r="Q69" s="863"/>
    </row>
    <row r="70" spans="1:17" ht="6.75" customHeight="1">
      <c r="A70" s="784"/>
      <c r="B70" s="903"/>
      <c r="C70" s="731"/>
      <c r="D70" s="909"/>
      <c r="E70" s="936"/>
      <c r="F70" s="936"/>
      <c r="G70" s="936"/>
      <c r="H70" s="936"/>
      <c r="I70" s="936"/>
      <c r="J70" s="936"/>
      <c r="K70" s="911"/>
      <c r="L70" s="928"/>
      <c r="M70" s="928"/>
      <c r="N70" s="928"/>
      <c r="O70" s="928"/>
      <c r="P70" s="928"/>
      <c r="Q70" s="851"/>
    </row>
    <row r="71" spans="1:17" ht="10.5" customHeight="1">
      <c r="A71" s="784"/>
      <c r="B71" s="903"/>
      <c r="C71" s="731"/>
      <c r="D71" s="909"/>
      <c r="E71" s="936"/>
      <c r="F71" s="936"/>
      <c r="G71" s="936"/>
      <c r="H71" s="936"/>
      <c r="I71" s="936"/>
      <c r="J71" s="936"/>
      <c r="K71" s="911"/>
      <c r="L71" s="928"/>
      <c r="M71" s="928"/>
      <c r="N71" s="928"/>
      <c r="O71" s="928"/>
      <c r="P71" s="928"/>
      <c r="Q71" s="851"/>
    </row>
    <row r="72" spans="1:17" ht="10.5" customHeight="1">
      <c r="A72" s="784"/>
      <c r="B72" s="903"/>
      <c r="C72" s="731"/>
      <c r="D72" s="910"/>
      <c r="E72" s="937"/>
      <c r="F72" s="937"/>
      <c r="G72" s="937"/>
      <c r="H72" s="937"/>
      <c r="I72" s="937"/>
      <c r="J72" s="937"/>
      <c r="K72" s="911"/>
      <c r="L72" s="928"/>
      <c r="M72" s="928"/>
      <c r="N72" s="928"/>
      <c r="O72" s="928"/>
      <c r="P72" s="928"/>
      <c r="Q72" s="851"/>
    </row>
    <row r="73" spans="1:17" ht="10.5" customHeight="1">
      <c r="A73" s="728"/>
      <c r="B73" s="904"/>
      <c r="C73" s="731"/>
      <c r="D73" s="150" t="s">
        <v>5</v>
      </c>
      <c r="E73" s="134">
        <f aca="true" t="shared" si="8" ref="E73:J73">E69</f>
        <v>880.8</v>
      </c>
      <c r="F73" s="134">
        <f t="shared" si="8"/>
        <v>800.8</v>
      </c>
      <c r="G73" s="134">
        <f t="shared" si="8"/>
        <v>20</v>
      </c>
      <c r="H73" s="134">
        <f t="shared" si="8"/>
        <v>20</v>
      </c>
      <c r="I73" s="134">
        <f t="shared" si="8"/>
        <v>20</v>
      </c>
      <c r="J73" s="134">
        <f t="shared" si="8"/>
        <v>20</v>
      </c>
      <c r="K73" s="911"/>
      <c r="L73" s="928"/>
      <c r="M73" s="928"/>
      <c r="N73" s="928"/>
      <c r="O73" s="928"/>
      <c r="P73" s="928"/>
      <c r="Q73" s="851"/>
    </row>
    <row r="74" spans="1:17" ht="10.5" customHeight="1">
      <c r="A74" s="729"/>
      <c r="B74" s="905"/>
      <c r="C74" s="732"/>
      <c r="D74" s="150" t="s">
        <v>6</v>
      </c>
      <c r="E74" s="134">
        <f aca="true" t="shared" si="9" ref="E74:J74">E80</f>
        <v>269</v>
      </c>
      <c r="F74" s="134">
        <f t="shared" si="9"/>
        <v>269</v>
      </c>
      <c r="G74" s="134">
        <f t="shared" si="9"/>
        <v>0</v>
      </c>
      <c r="H74" s="134">
        <f t="shared" si="9"/>
        <v>0</v>
      </c>
      <c r="I74" s="134">
        <f t="shared" si="9"/>
        <v>0</v>
      </c>
      <c r="J74" s="134">
        <f t="shared" si="9"/>
        <v>0</v>
      </c>
      <c r="K74" s="911"/>
      <c r="L74" s="928"/>
      <c r="M74" s="928"/>
      <c r="N74" s="928"/>
      <c r="O74" s="928"/>
      <c r="P74" s="928"/>
      <c r="Q74" s="851"/>
    </row>
    <row r="75" spans="1:17" ht="24" customHeight="1">
      <c r="A75" s="758" t="s">
        <v>91</v>
      </c>
      <c r="B75" s="902" t="s">
        <v>86</v>
      </c>
      <c r="C75" s="906" t="s">
        <v>161</v>
      </c>
      <c r="D75" s="137" t="s">
        <v>207</v>
      </c>
      <c r="E75" s="135">
        <f aca="true" t="shared" si="10" ref="E75:J75">E76</f>
        <v>158.8</v>
      </c>
      <c r="F75" s="135">
        <f t="shared" si="10"/>
        <v>78.8</v>
      </c>
      <c r="G75" s="135">
        <f t="shared" si="10"/>
        <v>20</v>
      </c>
      <c r="H75" s="135">
        <f t="shared" si="10"/>
        <v>20</v>
      </c>
      <c r="I75" s="135">
        <f t="shared" si="10"/>
        <v>20</v>
      </c>
      <c r="J75" s="135">
        <f t="shared" si="10"/>
        <v>20</v>
      </c>
      <c r="K75" s="900" t="s">
        <v>261</v>
      </c>
      <c r="L75" s="895" t="s">
        <v>236</v>
      </c>
      <c r="M75" s="895" t="s">
        <v>236</v>
      </c>
      <c r="N75" s="895" t="s">
        <v>236</v>
      </c>
      <c r="O75" s="895" t="s">
        <v>236</v>
      </c>
      <c r="P75" s="895" t="s">
        <v>236</v>
      </c>
      <c r="Q75" s="758" t="s">
        <v>142</v>
      </c>
    </row>
    <row r="76" spans="1:17" ht="13.5" customHeight="1">
      <c r="A76" s="728"/>
      <c r="B76" s="904"/>
      <c r="C76" s="907"/>
      <c r="D76" s="945" t="s">
        <v>5</v>
      </c>
      <c r="E76" s="933">
        <f>SUM(F76:J77)</f>
        <v>158.8</v>
      </c>
      <c r="F76" s="930">
        <f>118.8-40</f>
        <v>78.8</v>
      </c>
      <c r="G76" s="930">
        <v>20</v>
      </c>
      <c r="H76" s="930">
        <v>20</v>
      </c>
      <c r="I76" s="930">
        <v>20</v>
      </c>
      <c r="J76" s="930">
        <v>20</v>
      </c>
      <c r="K76" s="911"/>
      <c r="L76" s="928"/>
      <c r="M76" s="928"/>
      <c r="N76" s="928"/>
      <c r="O76" s="928"/>
      <c r="P76" s="928"/>
      <c r="Q76" s="784"/>
    </row>
    <row r="77" spans="1:17" ht="11.25" customHeight="1" thickBot="1">
      <c r="A77" s="729"/>
      <c r="B77" s="905"/>
      <c r="C77" s="907"/>
      <c r="D77" s="990"/>
      <c r="E77" s="934"/>
      <c r="F77" s="931"/>
      <c r="G77" s="931"/>
      <c r="H77" s="931"/>
      <c r="I77" s="931"/>
      <c r="J77" s="931"/>
      <c r="K77" s="911"/>
      <c r="L77" s="928"/>
      <c r="M77" s="928"/>
      <c r="N77" s="928"/>
      <c r="O77" s="928"/>
      <c r="P77" s="928"/>
      <c r="Q77" s="929"/>
    </row>
    <row r="78" spans="1:17" ht="24" customHeight="1">
      <c r="A78" s="758" t="s">
        <v>141</v>
      </c>
      <c r="B78" s="902" t="s">
        <v>139</v>
      </c>
      <c r="C78" s="822" t="s">
        <v>260</v>
      </c>
      <c r="D78" s="120" t="s">
        <v>207</v>
      </c>
      <c r="E78" s="135">
        <f aca="true" t="shared" si="11" ref="E78:J78">E80+E79</f>
        <v>722</v>
      </c>
      <c r="F78" s="135">
        <f t="shared" si="11"/>
        <v>722</v>
      </c>
      <c r="G78" s="135">
        <f t="shared" si="11"/>
        <v>0</v>
      </c>
      <c r="H78" s="135">
        <f t="shared" si="11"/>
        <v>0</v>
      </c>
      <c r="I78" s="135">
        <f t="shared" si="11"/>
        <v>0</v>
      </c>
      <c r="J78" s="135">
        <f t="shared" si="11"/>
        <v>0</v>
      </c>
      <c r="K78" s="900" t="s">
        <v>261</v>
      </c>
      <c r="L78" s="895" t="s">
        <v>236</v>
      </c>
      <c r="M78" s="895" t="s">
        <v>213</v>
      </c>
      <c r="N78" s="895" t="s">
        <v>213</v>
      </c>
      <c r="O78" s="895" t="s">
        <v>213</v>
      </c>
      <c r="P78" s="895" t="s">
        <v>213</v>
      </c>
      <c r="Q78" s="758" t="s">
        <v>142</v>
      </c>
    </row>
    <row r="79" spans="1:17" ht="16.5" customHeight="1">
      <c r="A79" s="728"/>
      <c r="B79" s="904"/>
      <c r="C79" s="923"/>
      <c r="D79" s="165" t="s">
        <v>5</v>
      </c>
      <c r="E79" s="76">
        <f>SUM(F79:J79)</f>
        <v>453</v>
      </c>
      <c r="F79" s="173">
        <v>453</v>
      </c>
      <c r="G79" s="173">
        <v>0</v>
      </c>
      <c r="H79" s="173">
        <v>0</v>
      </c>
      <c r="I79" s="161">
        <v>0</v>
      </c>
      <c r="J79" s="161">
        <v>0</v>
      </c>
      <c r="K79" s="911"/>
      <c r="L79" s="928"/>
      <c r="M79" s="928"/>
      <c r="N79" s="928"/>
      <c r="O79" s="928"/>
      <c r="P79" s="928"/>
      <c r="Q79" s="784"/>
    </row>
    <row r="80" spans="1:17" ht="16.5" customHeight="1" thickBot="1">
      <c r="A80" s="729"/>
      <c r="B80" s="905"/>
      <c r="C80" s="923"/>
      <c r="D80" s="145" t="s">
        <v>6</v>
      </c>
      <c r="E80" s="174">
        <f>SUM(F80:J80)</f>
        <v>269</v>
      </c>
      <c r="F80" s="161">
        <v>269</v>
      </c>
      <c r="G80" s="161">
        <v>0</v>
      </c>
      <c r="H80" s="161">
        <v>0</v>
      </c>
      <c r="I80" s="161">
        <v>0</v>
      </c>
      <c r="J80" s="161">
        <v>0</v>
      </c>
      <c r="K80" s="911"/>
      <c r="L80" s="928"/>
      <c r="M80" s="928"/>
      <c r="N80" s="928"/>
      <c r="O80" s="928"/>
      <c r="P80" s="928"/>
      <c r="Q80" s="929"/>
    </row>
    <row r="81" spans="1:17" ht="18" customHeight="1">
      <c r="A81" s="822"/>
      <c r="B81" s="783" t="s">
        <v>48</v>
      </c>
      <c r="C81" s="822"/>
      <c r="D81" s="1296" t="s">
        <v>207</v>
      </c>
      <c r="E81" s="916">
        <f>SUM(F81:J82)</f>
        <v>3102.8</v>
      </c>
      <c r="F81" s="916">
        <f>SUM(F83:F84)</f>
        <v>1883.5</v>
      </c>
      <c r="G81" s="916">
        <f>SUM(G83:G84)</f>
        <v>739.3</v>
      </c>
      <c r="H81" s="916">
        <f>SUM(H83:H84)</f>
        <v>160</v>
      </c>
      <c r="I81" s="916">
        <f>SUM(I83:I84)</f>
        <v>160</v>
      </c>
      <c r="J81" s="916">
        <f>SUM(J83:J84)</f>
        <v>160</v>
      </c>
      <c r="K81" s="920"/>
      <c r="L81" s="911"/>
      <c r="M81" s="911"/>
      <c r="N81" s="911"/>
      <c r="O81" s="911"/>
      <c r="P81" s="911"/>
      <c r="Q81" s="911"/>
    </row>
    <row r="82" spans="1:17" ht="12.75" customHeight="1">
      <c r="A82" s="822"/>
      <c r="B82" s="783"/>
      <c r="C82" s="822"/>
      <c r="D82" s="1297"/>
      <c r="E82" s="917"/>
      <c r="F82" s="917"/>
      <c r="G82" s="917"/>
      <c r="H82" s="917"/>
      <c r="I82" s="917"/>
      <c r="J82" s="917"/>
      <c r="K82" s="921"/>
      <c r="L82" s="911"/>
      <c r="M82" s="911"/>
      <c r="N82" s="911"/>
      <c r="O82" s="911"/>
      <c r="P82" s="911"/>
      <c r="Q82" s="911"/>
    </row>
    <row r="83" spans="1:17" ht="14.25" customHeight="1" thickBot="1">
      <c r="A83" s="822"/>
      <c r="B83" s="783"/>
      <c r="C83" s="822"/>
      <c r="D83" s="136" t="s">
        <v>5</v>
      </c>
      <c r="E83" s="44">
        <f>SUM(F83:J83)</f>
        <v>2514.5</v>
      </c>
      <c r="F83" s="44">
        <f>SUM(F76,F79,F53,F40,F42)</f>
        <v>1614.5</v>
      </c>
      <c r="G83" s="44">
        <f>SUM(G69,G56,G40,G42)</f>
        <v>420</v>
      </c>
      <c r="H83" s="44">
        <f>SUM(H69,H53,H40,H42)</f>
        <v>160</v>
      </c>
      <c r="I83" s="44">
        <f>SUM(I69,I53,I40,I42)</f>
        <v>160</v>
      </c>
      <c r="J83" s="45">
        <f>SUM(J69,J53,J40,J42)</f>
        <v>160</v>
      </c>
      <c r="K83" s="921"/>
      <c r="L83" s="911"/>
      <c r="M83" s="911"/>
      <c r="N83" s="911"/>
      <c r="O83" s="911"/>
      <c r="P83" s="911"/>
      <c r="Q83" s="911"/>
    </row>
    <row r="84" spans="1:17" ht="14.25" customHeight="1" thickBot="1">
      <c r="A84" s="923"/>
      <c r="B84" s="1295"/>
      <c r="C84" s="923"/>
      <c r="D84" s="136" t="s">
        <v>6</v>
      </c>
      <c r="E84" s="45">
        <f aca="true" t="shared" si="12" ref="E84:J84">E80</f>
        <v>269</v>
      </c>
      <c r="F84" s="45">
        <f t="shared" si="12"/>
        <v>269</v>
      </c>
      <c r="G84" s="45">
        <f>G80+G67</f>
        <v>319.3</v>
      </c>
      <c r="H84" s="45">
        <f t="shared" si="12"/>
        <v>0</v>
      </c>
      <c r="I84" s="45">
        <f t="shared" si="12"/>
        <v>0</v>
      </c>
      <c r="J84" s="45">
        <f t="shared" si="12"/>
        <v>0</v>
      </c>
      <c r="K84" s="922"/>
      <c r="L84" s="901"/>
      <c r="M84" s="901"/>
      <c r="N84" s="901"/>
      <c r="O84" s="901"/>
      <c r="P84" s="901"/>
      <c r="Q84" s="901"/>
    </row>
    <row r="85" spans="1:17" ht="13.5" customHeight="1">
      <c r="A85" s="8" t="s">
        <v>38</v>
      </c>
      <c r="B85" s="912" t="s">
        <v>93</v>
      </c>
      <c r="C85" s="913"/>
      <c r="D85" s="914"/>
      <c r="E85" s="914"/>
      <c r="F85" s="914"/>
      <c r="G85" s="914"/>
      <c r="H85" s="914"/>
      <c r="I85" s="914"/>
      <c r="J85" s="914"/>
      <c r="K85" s="913"/>
      <c r="L85" s="913"/>
      <c r="M85" s="913"/>
      <c r="N85" s="913"/>
      <c r="O85" s="913"/>
      <c r="P85" s="913"/>
      <c r="Q85" s="915"/>
    </row>
    <row r="86" spans="1:17" ht="16.5" customHeight="1">
      <c r="A86" s="758" t="s">
        <v>39</v>
      </c>
      <c r="B86" s="902" t="s">
        <v>58</v>
      </c>
      <c r="C86" s="906" t="s">
        <v>161</v>
      </c>
      <c r="D86" s="908" t="s">
        <v>223</v>
      </c>
      <c r="E86" s="897">
        <f aca="true" t="shared" si="13" ref="E86:J86">SUM(E93:E95)</f>
        <v>360286.7</v>
      </c>
      <c r="F86" s="897">
        <f t="shared" si="13"/>
        <v>75088</v>
      </c>
      <c r="G86" s="897">
        <f t="shared" si="13"/>
        <v>71066.7</v>
      </c>
      <c r="H86" s="897">
        <f t="shared" si="13"/>
        <v>67622</v>
      </c>
      <c r="I86" s="897">
        <f t="shared" si="13"/>
        <v>73255</v>
      </c>
      <c r="J86" s="897">
        <f t="shared" si="13"/>
        <v>73255</v>
      </c>
      <c r="K86" s="900" t="s">
        <v>262</v>
      </c>
      <c r="L86" s="895" t="s">
        <v>236</v>
      </c>
      <c r="M86" s="895" t="s">
        <v>236</v>
      </c>
      <c r="N86" s="895" t="s">
        <v>236</v>
      </c>
      <c r="O86" s="895" t="s">
        <v>236</v>
      </c>
      <c r="P86" s="895" t="s">
        <v>236</v>
      </c>
      <c r="Q86" s="895" t="s">
        <v>99</v>
      </c>
    </row>
    <row r="87" spans="1:17" ht="13.5" customHeight="1">
      <c r="A87" s="784"/>
      <c r="B87" s="903"/>
      <c r="C87" s="907"/>
      <c r="D87" s="909"/>
      <c r="E87" s="898"/>
      <c r="F87" s="898"/>
      <c r="G87" s="898"/>
      <c r="H87" s="898"/>
      <c r="I87" s="898"/>
      <c r="J87" s="898"/>
      <c r="K87" s="900"/>
      <c r="L87" s="895"/>
      <c r="M87" s="895"/>
      <c r="N87" s="895"/>
      <c r="O87" s="895"/>
      <c r="P87" s="895"/>
      <c r="Q87" s="895"/>
    </row>
    <row r="88" spans="1:17" ht="9" customHeight="1" hidden="1">
      <c r="A88" s="784"/>
      <c r="B88" s="903"/>
      <c r="C88" s="907"/>
      <c r="D88" s="909"/>
      <c r="E88" s="898"/>
      <c r="F88" s="898"/>
      <c r="G88" s="898"/>
      <c r="H88" s="898"/>
      <c r="I88" s="898"/>
      <c r="J88" s="898"/>
      <c r="K88" s="900"/>
      <c r="L88" s="895"/>
      <c r="M88" s="895"/>
      <c r="N88" s="895"/>
      <c r="O88" s="895"/>
      <c r="P88" s="895"/>
      <c r="Q88" s="895"/>
    </row>
    <row r="89" spans="1:17" ht="16.5" customHeight="1">
      <c r="A89" s="784"/>
      <c r="B89" s="903"/>
      <c r="C89" s="907"/>
      <c r="D89" s="910"/>
      <c r="E89" s="899"/>
      <c r="F89" s="899"/>
      <c r="G89" s="899"/>
      <c r="H89" s="899"/>
      <c r="I89" s="899"/>
      <c r="J89" s="899"/>
      <c r="K89" s="900"/>
      <c r="L89" s="895"/>
      <c r="M89" s="895"/>
      <c r="N89" s="895"/>
      <c r="O89" s="895"/>
      <c r="P89" s="895"/>
      <c r="Q89" s="895"/>
    </row>
    <row r="90" spans="1:17" ht="16.5" customHeight="1">
      <c r="A90" s="728"/>
      <c r="B90" s="904"/>
      <c r="C90" s="731"/>
      <c r="D90" s="167" t="s">
        <v>5</v>
      </c>
      <c r="E90" s="152">
        <f aca="true" t="shared" si="14" ref="E90:J90">E92</f>
        <v>119459.80000000002</v>
      </c>
      <c r="F90" s="152">
        <f t="shared" si="14"/>
        <v>28491.4</v>
      </c>
      <c r="G90" s="152">
        <f t="shared" si="14"/>
        <v>22292.1</v>
      </c>
      <c r="H90" s="152">
        <f t="shared" si="14"/>
        <v>20892.1</v>
      </c>
      <c r="I90" s="152">
        <f t="shared" si="14"/>
        <v>23892.1</v>
      </c>
      <c r="J90" s="152">
        <f t="shared" si="14"/>
        <v>23892.1</v>
      </c>
      <c r="K90" s="901"/>
      <c r="L90" s="896"/>
      <c r="M90" s="896"/>
      <c r="N90" s="896"/>
      <c r="O90" s="896"/>
      <c r="P90" s="896"/>
      <c r="Q90" s="896"/>
    </row>
    <row r="91" spans="1:17" ht="16.5" customHeight="1">
      <c r="A91" s="729"/>
      <c r="B91" s="905"/>
      <c r="C91" s="732"/>
      <c r="D91" s="167" t="s">
        <v>6</v>
      </c>
      <c r="E91" s="152">
        <f aca="true" t="shared" si="15" ref="E91:J91">E94</f>
        <v>240826.9</v>
      </c>
      <c r="F91" s="152">
        <f t="shared" si="15"/>
        <v>46596.6</v>
      </c>
      <c r="G91" s="152">
        <f t="shared" si="15"/>
        <v>48774.6</v>
      </c>
      <c r="H91" s="152">
        <f t="shared" si="15"/>
        <v>46729.9</v>
      </c>
      <c r="I91" s="152">
        <f t="shared" si="15"/>
        <v>49362.9</v>
      </c>
      <c r="J91" s="152">
        <f t="shared" si="15"/>
        <v>49362.9</v>
      </c>
      <c r="K91" s="901"/>
      <c r="L91" s="896"/>
      <c r="M91" s="896"/>
      <c r="N91" s="896"/>
      <c r="O91" s="896"/>
      <c r="P91" s="896"/>
      <c r="Q91" s="896"/>
    </row>
    <row r="92" spans="1:17" ht="26.25" customHeight="1">
      <c r="A92" s="758" t="s">
        <v>94</v>
      </c>
      <c r="B92" s="758" t="s">
        <v>109</v>
      </c>
      <c r="C92" s="906" t="s">
        <v>161</v>
      </c>
      <c r="D92" s="137" t="s">
        <v>207</v>
      </c>
      <c r="E92" s="144">
        <f aca="true" t="shared" si="16" ref="E92:J92">E93</f>
        <v>119459.80000000002</v>
      </c>
      <c r="F92" s="144">
        <f t="shared" si="16"/>
        <v>28491.4</v>
      </c>
      <c r="G92" s="144">
        <f t="shared" si="16"/>
        <v>22292.1</v>
      </c>
      <c r="H92" s="144">
        <f t="shared" si="16"/>
        <v>20892.1</v>
      </c>
      <c r="I92" s="144">
        <f t="shared" si="16"/>
        <v>23892.1</v>
      </c>
      <c r="J92" s="144">
        <f t="shared" si="16"/>
        <v>23892.1</v>
      </c>
      <c r="K92" s="900" t="s">
        <v>263</v>
      </c>
      <c r="L92" s="895" t="s">
        <v>236</v>
      </c>
      <c r="M92" s="895" t="s">
        <v>236</v>
      </c>
      <c r="N92" s="895" t="s">
        <v>236</v>
      </c>
      <c r="O92" s="895" t="s">
        <v>236</v>
      </c>
      <c r="P92" s="895" t="s">
        <v>236</v>
      </c>
      <c r="Q92" s="949" t="s">
        <v>99</v>
      </c>
    </row>
    <row r="93" spans="1:17" ht="20.25" customHeight="1">
      <c r="A93" s="729"/>
      <c r="B93" s="885"/>
      <c r="C93" s="732"/>
      <c r="D93" s="150" t="s">
        <v>5</v>
      </c>
      <c r="E93" s="153">
        <f>SUM(F93:J93)</f>
        <v>119459.80000000002</v>
      </c>
      <c r="F93" s="147">
        <v>28491.4</v>
      </c>
      <c r="G93" s="147">
        <f>23892.1-1000-600</f>
        <v>22292.1</v>
      </c>
      <c r="H93" s="141">
        <v>20892.1</v>
      </c>
      <c r="I93" s="141">
        <v>23892.1</v>
      </c>
      <c r="J93" s="141">
        <v>23892.1</v>
      </c>
      <c r="K93" s="901"/>
      <c r="L93" s="896"/>
      <c r="M93" s="896"/>
      <c r="N93" s="896"/>
      <c r="O93" s="896"/>
      <c r="P93" s="896"/>
      <c r="Q93" s="983"/>
    </row>
    <row r="94" spans="1:17" ht="25.5" customHeight="1">
      <c r="A94" s="758" t="s">
        <v>95</v>
      </c>
      <c r="B94" s="758" t="s">
        <v>100</v>
      </c>
      <c r="C94" s="906" t="s">
        <v>161</v>
      </c>
      <c r="D94" s="908" t="s">
        <v>220</v>
      </c>
      <c r="E94" s="897">
        <f>F94+G94+H94+I94+J94</f>
        <v>240826.9</v>
      </c>
      <c r="F94" s="897">
        <f>F98+F103+F106+F109+F111</f>
        <v>46596.6</v>
      </c>
      <c r="G94" s="897">
        <f>G98+G103+G106+G109+G111</f>
        <v>48774.6</v>
      </c>
      <c r="H94" s="897">
        <f>H98+H103+H106+H109+H111</f>
        <v>46729.9</v>
      </c>
      <c r="I94" s="897">
        <f>I98+I103+I106+I109+I111</f>
        <v>49362.9</v>
      </c>
      <c r="J94" s="897">
        <f>J98+J103+J106+J109+J111</f>
        <v>49362.9</v>
      </c>
      <c r="K94" s="966" t="s">
        <v>263</v>
      </c>
      <c r="L94" s="971">
        <v>100</v>
      </c>
      <c r="M94" s="971">
        <v>100</v>
      </c>
      <c r="N94" s="971">
        <v>100</v>
      </c>
      <c r="O94" s="971">
        <v>100</v>
      </c>
      <c r="P94" s="971">
        <v>100</v>
      </c>
      <c r="Q94" s="949" t="s">
        <v>99</v>
      </c>
    </row>
    <row r="95" spans="1:17" ht="6" customHeight="1">
      <c r="A95" s="784"/>
      <c r="B95" s="784"/>
      <c r="C95" s="907"/>
      <c r="D95" s="910"/>
      <c r="E95" s="983"/>
      <c r="F95" s="983"/>
      <c r="G95" s="983"/>
      <c r="H95" s="983"/>
      <c r="I95" s="983"/>
      <c r="J95" s="983"/>
      <c r="K95" s="960"/>
      <c r="L95" s="1294"/>
      <c r="M95" s="1294"/>
      <c r="N95" s="1294"/>
      <c r="O95" s="1294"/>
      <c r="P95" s="1294"/>
      <c r="Q95" s="982"/>
    </row>
    <row r="96" spans="1:17" ht="15.75" customHeight="1">
      <c r="A96" s="729"/>
      <c r="B96" s="729"/>
      <c r="C96" s="732"/>
      <c r="D96" s="160" t="s">
        <v>6</v>
      </c>
      <c r="E96" s="154">
        <f aca="true" t="shared" si="17" ref="E96:J96">E94</f>
        <v>240826.9</v>
      </c>
      <c r="F96" s="154">
        <f t="shared" si="17"/>
        <v>46596.6</v>
      </c>
      <c r="G96" s="154">
        <f t="shared" si="17"/>
        <v>48774.6</v>
      </c>
      <c r="H96" s="154">
        <f t="shared" si="17"/>
        <v>46729.9</v>
      </c>
      <c r="I96" s="154">
        <f t="shared" si="17"/>
        <v>49362.9</v>
      </c>
      <c r="J96" s="154">
        <f t="shared" si="17"/>
        <v>49362.9</v>
      </c>
      <c r="K96" s="961"/>
      <c r="L96" s="983"/>
      <c r="M96" s="983"/>
      <c r="N96" s="983"/>
      <c r="O96" s="983"/>
      <c r="P96" s="983"/>
      <c r="Q96" s="983"/>
    </row>
    <row r="97" spans="1:17" ht="24.75" customHeight="1">
      <c r="A97" s="758" t="s">
        <v>101</v>
      </c>
      <c r="B97" s="902" t="s">
        <v>103</v>
      </c>
      <c r="C97" s="906" t="s">
        <v>161</v>
      </c>
      <c r="D97" s="119" t="s">
        <v>207</v>
      </c>
      <c r="E97" s="169">
        <f aca="true" t="shared" si="18" ref="E97:J97">E98</f>
        <v>10274</v>
      </c>
      <c r="F97" s="169">
        <f t="shared" si="18"/>
        <v>1840</v>
      </c>
      <c r="G97" s="169">
        <f t="shared" si="18"/>
        <v>1934</v>
      </c>
      <c r="H97" s="169">
        <f t="shared" si="18"/>
        <v>2100</v>
      </c>
      <c r="I97" s="169">
        <f t="shared" si="18"/>
        <v>2200</v>
      </c>
      <c r="J97" s="169">
        <f t="shared" si="18"/>
        <v>2200</v>
      </c>
      <c r="K97" s="948" t="s">
        <v>264</v>
      </c>
      <c r="L97" s="949" t="s">
        <v>236</v>
      </c>
      <c r="M97" s="949" t="s">
        <v>236</v>
      </c>
      <c r="N97" s="949" t="s">
        <v>236</v>
      </c>
      <c r="O97" s="949" t="s">
        <v>236</v>
      </c>
      <c r="P97" s="949" t="s">
        <v>236</v>
      </c>
      <c r="Q97" s="949" t="s">
        <v>99</v>
      </c>
    </row>
    <row r="98" spans="1:17" ht="19.5" customHeight="1">
      <c r="A98" s="728"/>
      <c r="B98" s="884"/>
      <c r="C98" s="785"/>
      <c r="D98" s="945" t="s">
        <v>6</v>
      </c>
      <c r="E98" s="955">
        <f>SUM(F98:J99)</f>
        <v>10274</v>
      </c>
      <c r="F98" s="955">
        <v>1840</v>
      </c>
      <c r="G98" s="955">
        <v>1934</v>
      </c>
      <c r="H98" s="955">
        <v>2100</v>
      </c>
      <c r="I98" s="955">
        <v>2200</v>
      </c>
      <c r="J98" s="955">
        <v>2200</v>
      </c>
      <c r="K98" s="960"/>
      <c r="L98" s="1276"/>
      <c r="M98" s="1276"/>
      <c r="N98" s="1276"/>
      <c r="O98" s="1276"/>
      <c r="P98" s="1276"/>
      <c r="Q98" s="982"/>
    </row>
    <row r="99" spans="1:17" ht="26.25" customHeight="1">
      <c r="A99" s="728"/>
      <c r="B99" s="884"/>
      <c r="C99" s="785"/>
      <c r="D99" s="957"/>
      <c r="E99" s="958"/>
      <c r="F99" s="958"/>
      <c r="G99" s="958"/>
      <c r="H99" s="958"/>
      <c r="I99" s="958"/>
      <c r="J99" s="958"/>
      <c r="K99" s="960"/>
      <c r="L99" s="1276"/>
      <c r="M99" s="1276"/>
      <c r="N99" s="1276"/>
      <c r="O99" s="1276"/>
      <c r="P99" s="1276"/>
      <c r="Q99" s="982"/>
    </row>
    <row r="100" spans="1:17" ht="6" customHeight="1">
      <c r="A100" s="728"/>
      <c r="B100" s="884"/>
      <c r="C100" s="785"/>
      <c r="D100" s="946"/>
      <c r="E100" s="982"/>
      <c r="F100" s="946"/>
      <c r="G100" s="946"/>
      <c r="H100" s="946"/>
      <c r="I100" s="982"/>
      <c r="J100" s="982"/>
      <c r="K100" s="960"/>
      <c r="L100" s="1276"/>
      <c r="M100" s="1276"/>
      <c r="N100" s="1276"/>
      <c r="O100" s="1276"/>
      <c r="P100" s="1276"/>
      <c r="Q100" s="982"/>
    </row>
    <row r="101" spans="1:17" ht="9" customHeight="1">
      <c r="A101" s="729"/>
      <c r="B101" s="885"/>
      <c r="C101" s="1293"/>
      <c r="D101" s="947"/>
      <c r="E101" s="983"/>
      <c r="F101" s="947"/>
      <c r="G101" s="947"/>
      <c r="H101" s="947"/>
      <c r="I101" s="983"/>
      <c r="J101" s="983"/>
      <c r="K101" s="961"/>
      <c r="L101" s="950"/>
      <c r="M101" s="950"/>
      <c r="N101" s="950"/>
      <c r="O101" s="950"/>
      <c r="P101" s="950"/>
      <c r="Q101" s="983"/>
    </row>
    <row r="102" spans="1:17" ht="26.25" customHeight="1">
      <c r="A102" s="758" t="s">
        <v>102</v>
      </c>
      <c r="B102" s="902" t="s">
        <v>61</v>
      </c>
      <c r="C102" s="906" t="s">
        <v>161</v>
      </c>
      <c r="D102" s="119" t="s">
        <v>207</v>
      </c>
      <c r="E102" s="143">
        <f aca="true" t="shared" si="19" ref="E102:J102">E103</f>
        <v>549.8</v>
      </c>
      <c r="F102" s="143">
        <f t="shared" si="19"/>
        <v>549.8</v>
      </c>
      <c r="G102" s="143">
        <f t="shared" si="19"/>
        <v>0</v>
      </c>
      <c r="H102" s="143">
        <f t="shared" si="19"/>
        <v>0</v>
      </c>
      <c r="I102" s="143">
        <f t="shared" si="19"/>
        <v>0</v>
      </c>
      <c r="J102" s="143">
        <f t="shared" si="19"/>
        <v>0</v>
      </c>
      <c r="K102" s="948" t="s">
        <v>263</v>
      </c>
      <c r="L102" s="949" t="s">
        <v>236</v>
      </c>
      <c r="M102" s="949" t="s">
        <v>213</v>
      </c>
      <c r="N102" s="949" t="s">
        <v>213</v>
      </c>
      <c r="O102" s="949" t="s">
        <v>213</v>
      </c>
      <c r="P102" s="949" t="s">
        <v>213</v>
      </c>
      <c r="Q102" s="159"/>
    </row>
    <row r="103" spans="1:17" ht="62.25" customHeight="1">
      <c r="A103" s="728"/>
      <c r="B103" s="884"/>
      <c r="C103" s="731"/>
      <c r="D103" s="145" t="s">
        <v>6</v>
      </c>
      <c r="E103" s="151">
        <f aca="true" t="shared" si="20" ref="E103:E112">SUM(F103:J103)</f>
        <v>549.8</v>
      </c>
      <c r="F103" s="151">
        <f>449.8+100</f>
        <v>549.8</v>
      </c>
      <c r="G103" s="151">
        <v>0</v>
      </c>
      <c r="H103" s="151">
        <v>0</v>
      </c>
      <c r="I103" s="151">
        <v>0</v>
      </c>
      <c r="J103" s="151">
        <v>0</v>
      </c>
      <c r="K103" s="960"/>
      <c r="L103" s="1276"/>
      <c r="M103" s="1276"/>
      <c r="N103" s="1276"/>
      <c r="O103" s="1276"/>
      <c r="P103" s="1276"/>
      <c r="Q103" s="158" t="s">
        <v>206</v>
      </c>
    </row>
    <row r="104" spans="1:17" ht="51" customHeight="1" hidden="1">
      <c r="A104" s="729"/>
      <c r="B104" s="885"/>
      <c r="C104" s="732"/>
      <c r="D104" s="145" t="s">
        <v>6</v>
      </c>
      <c r="E104" s="151">
        <v>0</v>
      </c>
      <c r="F104" s="151">
        <v>0</v>
      </c>
      <c r="G104" s="151">
        <v>0</v>
      </c>
      <c r="H104" s="151">
        <v>0</v>
      </c>
      <c r="I104" s="151">
        <v>0</v>
      </c>
      <c r="J104" s="151">
        <v>0</v>
      </c>
      <c r="K104" s="961"/>
      <c r="L104" s="950"/>
      <c r="M104" s="950"/>
      <c r="N104" s="950"/>
      <c r="O104" s="950"/>
      <c r="P104" s="950"/>
      <c r="Q104" s="158"/>
    </row>
    <row r="105" spans="1:17" ht="28.5" customHeight="1">
      <c r="A105" s="888" t="s">
        <v>104</v>
      </c>
      <c r="B105" s="888" t="s">
        <v>66</v>
      </c>
      <c r="C105" s="906" t="s">
        <v>161</v>
      </c>
      <c r="D105" s="119" t="s">
        <v>207</v>
      </c>
      <c r="E105" s="142">
        <f aca="true" t="shared" si="21" ref="E105:J105">E106</f>
        <v>223.9</v>
      </c>
      <c r="F105" s="142">
        <f t="shared" si="21"/>
        <v>45.9</v>
      </c>
      <c r="G105" s="142">
        <f t="shared" si="21"/>
        <v>44.5</v>
      </c>
      <c r="H105" s="142">
        <f t="shared" si="21"/>
        <v>44.5</v>
      </c>
      <c r="I105" s="142">
        <f t="shared" si="21"/>
        <v>44.5</v>
      </c>
      <c r="J105" s="142">
        <f t="shared" si="21"/>
        <v>44.5</v>
      </c>
      <c r="K105" s="948" t="s">
        <v>263</v>
      </c>
      <c r="L105" s="949" t="s">
        <v>236</v>
      </c>
      <c r="M105" s="949" t="s">
        <v>236</v>
      </c>
      <c r="N105" s="949" t="s">
        <v>236</v>
      </c>
      <c r="O105" s="949" t="s">
        <v>236</v>
      </c>
      <c r="P105" s="949" t="s">
        <v>236</v>
      </c>
      <c r="Q105" s="158"/>
    </row>
    <row r="106" spans="1:17" ht="26.25" customHeight="1">
      <c r="A106" s="885"/>
      <c r="B106" s="885"/>
      <c r="C106" s="731"/>
      <c r="D106" s="150" t="s">
        <v>6</v>
      </c>
      <c r="E106" s="153">
        <f t="shared" si="20"/>
        <v>223.9</v>
      </c>
      <c r="F106" s="153">
        <v>45.9</v>
      </c>
      <c r="G106" s="153">
        <v>44.5</v>
      </c>
      <c r="H106" s="153">
        <v>44.5</v>
      </c>
      <c r="I106" s="153">
        <v>44.5</v>
      </c>
      <c r="J106" s="153">
        <v>44.5</v>
      </c>
      <c r="K106" s="961"/>
      <c r="L106" s="983"/>
      <c r="M106" s="983"/>
      <c r="N106" s="983"/>
      <c r="O106" s="983"/>
      <c r="P106" s="983"/>
      <c r="Q106" s="168" t="s">
        <v>205</v>
      </c>
    </row>
    <row r="107" spans="1:17" ht="36.75" customHeight="1" hidden="1">
      <c r="A107" s="81"/>
      <c r="B107" s="80"/>
      <c r="C107" s="732"/>
      <c r="D107" s="150" t="s">
        <v>6</v>
      </c>
      <c r="E107" s="153">
        <f t="shared" si="20"/>
        <v>0</v>
      </c>
      <c r="F107" s="153">
        <v>0</v>
      </c>
      <c r="G107" s="153">
        <v>0</v>
      </c>
      <c r="H107" s="153">
        <v>0</v>
      </c>
      <c r="I107" s="153">
        <v>0</v>
      </c>
      <c r="J107" s="153">
        <v>0</v>
      </c>
      <c r="K107" s="69"/>
      <c r="L107" s="70"/>
      <c r="M107" s="70"/>
      <c r="N107" s="70"/>
      <c r="O107" s="70"/>
      <c r="P107" s="70"/>
      <c r="Q107" s="168"/>
    </row>
    <row r="108" spans="1:17" ht="22.5" customHeight="1">
      <c r="A108" s="758" t="s">
        <v>105</v>
      </c>
      <c r="B108" s="902" t="s">
        <v>62</v>
      </c>
      <c r="C108" s="906" t="s">
        <v>161</v>
      </c>
      <c r="D108" s="119" t="s">
        <v>207</v>
      </c>
      <c r="E108" s="144">
        <f aca="true" t="shared" si="22" ref="E108:J108">E109</f>
        <v>220821</v>
      </c>
      <c r="F108" s="144">
        <f t="shared" si="22"/>
        <v>42323.1</v>
      </c>
      <c r="G108" s="144">
        <f t="shared" si="22"/>
        <v>45016</v>
      </c>
      <c r="H108" s="144">
        <f t="shared" si="22"/>
        <v>42805.3</v>
      </c>
      <c r="I108" s="144">
        <f t="shared" si="22"/>
        <v>45338.3</v>
      </c>
      <c r="J108" s="144">
        <f t="shared" si="22"/>
        <v>45338.3</v>
      </c>
      <c r="K108" s="948" t="s">
        <v>263</v>
      </c>
      <c r="L108" s="949" t="s">
        <v>236</v>
      </c>
      <c r="M108" s="949" t="s">
        <v>236</v>
      </c>
      <c r="N108" s="949" t="s">
        <v>236</v>
      </c>
      <c r="O108" s="949" t="s">
        <v>236</v>
      </c>
      <c r="P108" s="949" t="s">
        <v>236</v>
      </c>
      <c r="Q108" s="168"/>
    </row>
    <row r="109" spans="1:17" ht="16.5" customHeight="1">
      <c r="A109" s="885"/>
      <c r="B109" s="885"/>
      <c r="C109" s="732"/>
      <c r="D109" s="150" t="s">
        <v>6</v>
      </c>
      <c r="E109" s="152">
        <f t="shared" si="20"/>
        <v>220821</v>
      </c>
      <c r="F109" s="152">
        <v>42323.1</v>
      </c>
      <c r="G109" s="152">
        <v>45016</v>
      </c>
      <c r="H109" s="152">
        <v>42805.3</v>
      </c>
      <c r="I109" s="152">
        <v>45338.3</v>
      </c>
      <c r="J109" s="152">
        <v>45338.3</v>
      </c>
      <c r="K109" s="961"/>
      <c r="L109" s="950"/>
      <c r="M109" s="950"/>
      <c r="N109" s="950"/>
      <c r="O109" s="950"/>
      <c r="P109" s="950"/>
      <c r="Q109" s="168" t="s">
        <v>99</v>
      </c>
    </row>
    <row r="110" spans="1:17" ht="26.25" customHeight="1">
      <c r="A110" s="758" t="s">
        <v>106</v>
      </c>
      <c r="B110" s="902" t="s">
        <v>65</v>
      </c>
      <c r="C110" s="906" t="s">
        <v>42</v>
      </c>
      <c r="D110" s="119" t="s">
        <v>207</v>
      </c>
      <c r="E110" s="144">
        <f aca="true" t="shared" si="23" ref="E110:J110">E111</f>
        <v>8958.2</v>
      </c>
      <c r="F110" s="144">
        <f t="shared" si="23"/>
        <v>1837.8</v>
      </c>
      <c r="G110" s="144">
        <f t="shared" si="23"/>
        <v>1780.1</v>
      </c>
      <c r="H110" s="144">
        <f t="shared" si="23"/>
        <v>1780.1</v>
      </c>
      <c r="I110" s="144">
        <f t="shared" si="23"/>
        <v>1780.1</v>
      </c>
      <c r="J110" s="144">
        <f t="shared" si="23"/>
        <v>1780.1</v>
      </c>
      <c r="K110" s="948" t="s">
        <v>263</v>
      </c>
      <c r="L110" s="949" t="s">
        <v>236</v>
      </c>
      <c r="M110" s="949" t="s">
        <v>236</v>
      </c>
      <c r="N110" s="949" t="s">
        <v>236</v>
      </c>
      <c r="O110" s="949" t="s">
        <v>236</v>
      </c>
      <c r="P110" s="949" t="s">
        <v>236</v>
      </c>
      <c r="Q110" s="168"/>
    </row>
    <row r="111" spans="1:17" ht="44.25" customHeight="1">
      <c r="A111" s="884"/>
      <c r="B111" s="884"/>
      <c r="C111" s="731"/>
      <c r="D111" s="150" t="s">
        <v>6</v>
      </c>
      <c r="E111" s="153">
        <f t="shared" si="20"/>
        <v>8958.2</v>
      </c>
      <c r="F111" s="153">
        <v>1837.8</v>
      </c>
      <c r="G111" s="153">
        <v>1780.1</v>
      </c>
      <c r="H111" s="153">
        <v>1780.1</v>
      </c>
      <c r="I111" s="153">
        <v>1780.1</v>
      </c>
      <c r="J111" s="153">
        <v>1780.1</v>
      </c>
      <c r="K111" s="960"/>
      <c r="L111" s="1274"/>
      <c r="M111" s="1274"/>
      <c r="N111" s="1274"/>
      <c r="O111" s="1274"/>
      <c r="P111" s="1274"/>
      <c r="Q111" s="168" t="s">
        <v>160</v>
      </c>
    </row>
    <row r="112" spans="1:17" ht="34.5" customHeight="1" hidden="1">
      <c r="A112" s="885"/>
      <c r="B112" s="885"/>
      <c r="C112" s="732"/>
      <c r="D112" s="77" t="s">
        <v>6</v>
      </c>
      <c r="E112" s="78">
        <f t="shared" si="20"/>
        <v>0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961"/>
      <c r="L112" s="1275"/>
      <c r="M112" s="1275"/>
      <c r="N112" s="1275"/>
      <c r="O112" s="1275"/>
      <c r="P112" s="1275"/>
      <c r="Q112" s="168"/>
    </row>
    <row r="113" spans="1:17" ht="30" customHeight="1">
      <c r="A113" s="758" t="s">
        <v>107</v>
      </c>
      <c r="B113" s="902" t="s">
        <v>59</v>
      </c>
      <c r="C113" s="906" t="s">
        <v>161</v>
      </c>
      <c r="D113" s="969" t="s">
        <v>216</v>
      </c>
      <c r="E113" s="897">
        <f aca="true" t="shared" si="24" ref="E113:J113">SUM(E120:E122)</f>
        <v>356639.5</v>
      </c>
      <c r="F113" s="897">
        <f t="shared" si="24"/>
        <v>70964.8</v>
      </c>
      <c r="G113" s="897">
        <f t="shared" si="24"/>
        <v>65711.8</v>
      </c>
      <c r="H113" s="897">
        <f t="shared" si="24"/>
        <v>69306.1</v>
      </c>
      <c r="I113" s="897">
        <f t="shared" si="24"/>
        <v>75328.4</v>
      </c>
      <c r="J113" s="897">
        <f t="shared" si="24"/>
        <v>75328.4</v>
      </c>
      <c r="K113" s="948" t="s">
        <v>50</v>
      </c>
      <c r="L113" s="949" t="s">
        <v>266</v>
      </c>
      <c r="M113" s="949" t="s">
        <v>266</v>
      </c>
      <c r="N113" s="949" t="s">
        <v>266</v>
      </c>
      <c r="O113" s="949" t="s">
        <v>266</v>
      </c>
      <c r="P113" s="949" t="s">
        <v>266</v>
      </c>
      <c r="Q113" s="758" t="s">
        <v>51</v>
      </c>
    </row>
    <row r="114" spans="1:17" ht="5.25" customHeight="1">
      <c r="A114" s="784"/>
      <c r="B114" s="903"/>
      <c r="C114" s="907"/>
      <c r="D114" s="970"/>
      <c r="E114" s="898"/>
      <c r="F114" s="898"/>
      <c r="G114" s="898"/>
      <c r="H114" s="898"/>
      <c r="I114" s="898"/>
      <c r="J114" s="898"/>
      <c r="K114" s="1278"/>
      <c r="L114" s="1276"/>
      <c r="M114" s="1276"/>
      <c r="N114" s="1276"/>
      <c r="O114" s="1276"/>
      <c r="P114" s="1276"/>
      <c r="Q114" s="784"/>
    </row>
    <row r="115" spans="1:17" ht="15" customHeight="1">
      <c r="A115" s="784"/>
      <c r="B115" s="903"/>
      <c r="C115" s="907"/>
      <c r="D115" s="970"/>
      <c r="E115" s="898"/>
      <c r="F115" s="898"/>
      <c r="G115" s="898"/>
      <c r="H115" s="898"/>
      <c r="I115" s="898"/>
      <c r="J115" s="898"/>
      <c r="K115" s="1278"/>
      <c r="L115" s="1276"/>
      <c r="M115" s="1276"/>
      <c r="N115" s="1276"/>
      <c r="O115" s="1276"/>
      <c r="P115" s="1276"/>
      <c r="Q115" s="784"/>
    </row>
    <row r="116" spans="1:17" ht="4.5" customHeight="1">
      <c r="A116" s="784"/>
      <c r="B116" s="903"/>
      <c r="C116" s="907"/>
      <c r="D116" s="1292"/>
      <c r="E116" s="899"/>
      <c r="F116" s="899"/>
      <c r="G116" s="899"/>
      <c r="H116" s="899"/>
      <c r="I116" s="899"/>
      <c r="J116" s="899"/>
      <c r="K116" s="1278"/>
      <c r="L116" s="1276"/>
      <c r="M116" s="1276"/>
      <c r="N116" s="1276"/>
      <c r="O116" s="1276"/>
      <c r="P116" s="1276"/>
      <c r="Q116" s="784"/>
    </row>
    <row r="117" spans="1:17" ht="15" customHeight="1">
      <c r="A117" s="728"/>
      <c r="B117" s="904"/>
      <c r="C117" s="731"/>
      <c r="D117" s="150" t="s">
        <v>5</v>
      </c>
      <c r="E117" s="153">
        <f aca="true" t="shared" si="25" ref="E117:J117">E119</f>
        <v>44544.2</v>
      </c>
      <c r="F117" s="153">
        <f t="shared" si="25"/>
        <v>11383.4</v>
      </c>
      <c r="G117" s="153">
        <f t="shared" si="25"/>
        <v>8725.2</v>
      </c>
      <c r="H117" s="153">
        <f t="shared" si="25"/>
        <v>7145.2</v>
      </c>
      <c r="I117" s="153">
        <f t="shared" si="25"/>
        <v>8645.2</v>
      </c>
      <c r="J117" s="153">
        <f t="shared" si="25"/>
        <v>8645.2</v>
      </c>
      <c r="K117" s="960"/>
      <c r="L117" s="1274"/>
      <c r="M117" s="1274"/>
      <c r="N117" s="1274"/>
      <c r="O117" s="1274"/>
      <c r="P117" s="1274"/>
      <c r="Q117" s="728"/>
    </row>
    <row r="118" spans="1:17" ht="15" customHeight="1">
      <c r="A118" s="729"/>
      <c r="B118" s="905"/>
      <c r="C118" s="732"/>
      <c r="D118" s="150" t="s">
        <v>6</v>
      </c>
      <c r="E118" s="153">
        <f aca="true" t="shared" si="26" ref="E118:J118">E122</f>
        <v>312095.3</v>
      </c>
      <c r="F118" s="153">
        <f t="shared" si="26"/>
        <v>59581.4</v>
      </c>
      <c r="G118" s="153">
        <f t="shared" si="26"/>
        <v>56986.6</v>
      </c>
      <c r="H118" s="153">
        <f t="shared" si="26"/>
        <v>62160.9</v>
      </c>
      <c r="I118" s="153">
        <f t="shared" si="26"/>
        <v>66683.2</v>
      </c>
      <c r="J118" s="153">
        <f t="shared" si="26"/>
        <v>66683.2</v>
      </c>
      <c r="K118" s="961"/>
      <c r="L118" s="1275"/>
      <c r="M118" s="1275"/>
      <c r="N118" s="1275"/>
      <c r="O118" s="1275"/>
      <c r="P118" s="1275"/>
      <c r="Q118" s="729"/>
    </row>
    <row r="119" spans="1:17" ht="21" customHeight="1">
      <c r="A119" s="758" t="s">
        <v>96</v>
      </c>
      <c r="B119" s="902" t="s">
        <v>110</v>
      </c>
      <c r="C119" s="906" t="s">
        <v>161</v>
      </c>
      <c r="D119" s="119" t="s">
        <v>222</v>
      </c>
      <c r="E119" s="142">
        <f aca="true" t="shared" si="27" ref="E119:J119">E120</f>
        <v>44544.2</v>
      </c>
      <c r="F119" s="142">
        <f t="shared" si="27"/>
        <v>11383.4</v>
      </c>
      <c r="G119" s="142">
        <f t="shared" si="27"/>
        <v>8725.2</v>
      </c>
      <c r="H119" s="142">
        <f t="shared" si="27"/>
        <v>7145.2</v>
      </c>
      <c r="I119" s="142">
        <f t="shared" si="27"/>
        <v>8645.2</v>
      </c>
      <c r="J119" s="142">
        <f t="shared" si="27"/>
        <v>8645.2</v>
      </c>
      <c r="K119" s="948" t="s">
        <v>267</v>
      </c>
      <c r="L119" s="949" t="s">
        <v>236</v>
      </c>
      <c r="M119" s="949" t="s">
        <v>236</v>
      </c>
      <c r="N119" s="949" t="s">
        <v>236</v>
      </c>
      <c r="O119" s="949" t="s">
        <v>236</v>
      </c>
      <c r="P119" s="949" t="s">
        <v>236</v>
      </c>
      <c r="Q119" s="949" t="s">
        <v>51</v>
      </c>
    </row>
    <row r="120" spans="1:17" ht="14.25" customHeight="1">
      <c r="A120" s="728"/>
      <c r="B120" s="904"/>
      <c r="C120" s="731"/>
      <c r="D120" s="945" t="s">
        <v>5</v>
      </c>
      <c r="E120" s="955">
        <f>SUM(F120:J121)</f>
        <v>44544.2</v>
      </c>
      <c r="F120" s="955">
        <v>11383.4</v>
      </c>
      <c r="G120" s="955">
        <f>8645.2+80</f>
        <v>8725.2</v>
      </c>
      <c r="H120" s="955">
        <v>7145.2</v>
      </c>
      <c r="I120" s="955">
        <v>8645.2</v>
      </c>
      <c r="J120" s="955">
        <v>8645.2</v>
      </c>
      <c r="K120" s="960"/>
      <c r="L120" s="1274"/>
      <c r="M120" s="1274"/>
      <c r="N120" s="1274"/>
      <c r="O120" s="1274"/>
      <c r="P120" s="1274"/>
      <c r="Q120" s="982"/>
    </row>
    <row r="121" spans="1:17" ht="14.25" customHeight="1">
      <c r="A121" s="729"/>
      <c r="B121" s="905"/>
      <c r="C121" s="732"/>
      <c r="D121" s="990"/>
      <c r="E121" s="956"/>
      <c r="F121" s="956"/>
      <c r="G121" s="956"/>
      <c r="H121" s="956"/>
      <c r="I121" s="956"/>
      <c r="J121" s="956"/>
      <c r="K121" s="961"/>
      <c r="L121" s="1275"/>
      <c r="M121" s="1275"/>
      <c r="N121" s="1275"/>
      <c r="O121" s="1275"/>
      <c r="P121" s="1275"/>
      <c r="Q121" s="983"/>
    </row>
    <row r="122" spans="1:17" ht="24" customHeight="1">
      <c r="A122" s="758" t="s">
        <v>97</v>
      </c>
      <c r="B122" s="902" t="s">
        <v>108</v>
      </c>
      <c r="C122" s="906" t="s">
        <v>161</v>
      </c>
      <c r="D122" s="119" t="s">
        <v>265</v>
      </c>
      <c r="E122" s="34">
        <f>SUM(F122:J122)</f>
        <v>312095.3</v>
      </c>
      <c r="F122" s="34">
        <f>SUM(F124:F127)</f>
        <v>59581.4</v>
      </c>
      <c r="G122" s="34">
        <f>SUM(G124:G128)</f>
        <v>56986.6</v>
      </c>
      <c r="H122" s="34">
        <f>SUM(H124:H128)</f>
        <v>62160.9</v>
      </c>
      <c r="I122" s="34">
        <f>SUM(I124:I128)</f>
        <v>66683.2</v>
      </c>
      <c r="J122" s="34">
        <f>SUM(J124:J128)</f>
        <v>66683.2</v>
      </c>
      <c r="K122" s="900"/>
      <c r="L122" s="953"/>
      <c r="M122" s="953"/>
      <c r="N122" s="953"/>
      <c r="O122" s="953"/>
      <c r="P122" s="953"/>
      <c r="Q122" s="949"/>
    </row>
    <row r="123" spans="1:17" ht="24" customHeight="1">
      <c r="A123" s="729"/>
      <c r="B123" s="905"/>
      <c r="C123" s="732"/>
      <c r="D123" s="145" t="s">
        <v>6</v>
      </c>
      <c r="E123" s="141">
        <f aca="true" t="shared" si="28" ref="E123:J123">E122</f>
        <v>312095.3</v>
      </c>
      <c r="F123" s="141">
        <f t="shared" si="28"/>
        <v>59581.4</v>
      </c>
      <c r="G123" s="141">
        <f t="shared" si="28"/>
        <v>56986.6</v>
      </c>
      <c r="H123" s="141">
        <f t="shared" si="28"/>
        <v>62160.9</v>
      </c>
      <c r="I123" s="141">
        <f t="shared" si="28"/>
        <v>66683.2</v>
      </c>
      <c r="J123" s="141">
        <f t="shared" si="28"/>
        <v>66683.2</v>
      </c>
      <c r="K123" s="901"/>
      <c r="L123" s="896"/>
      <c r="M123" s="896"/>
      <c r="N123" s="896"/>
      <c r="O123" s="896"/>
      <c r="P123" s="896"/>
      <c r="Q123" s="983"/>
    </row>
    <row r="124" spans="1:17" ht="26.25" customHeight="1">
      <c r="A124" s="758" t="s">
        <v>112</v>
      </c>
      <c r="B124" s="902" t="s">
        <v>62</v>
      </c>
      <c r="C124" s="816" t="s">
        <v>161</v>
      </c>
      <c r="D124" s="945" t="s">
        <v>6</v>
      </c>
      <c r="E124" s="973">
        <f>SUM(F124:J125)</f>
        <v>310796.10000000003</v>
      </c>
      <c r="F124" s="973">
        <f>62197.9-3100.2</f>
        <v>59097.700000000004</v>
      </c>
      <c r="G124" s="973">
        <f>60023.4-3252.3</f>
        <v>56771.1</v>
      </c>
      <c r="H124" s="973">
        <v>61960.9</v>
      </c>
      <c r="I124" s="973">
        <v>66483.2</v>
      </c>
      <c r="J124" s="973">
        <v>66483.2</v>
      </c>
      <c r="K124" s="900" t="s">
        <v>263</v>
      </c>
      <c r="L124" s="895" t="s">
        <v>236</v>
      </c>
      <c r="M124" s="895" t="s">
        <v>236</v>
      </c>
      <c r="N124" s="895" t="s">
        <v>236</v>
      </c>
      <c r="O124" s="895" t="s">
        <v>236</v>
      </c>
      <c r="P124" s="895" t="s">
        <v>236</v>
      </c>
      <c r="Q124" s="949" t="s">
        <v>51</v>
      </c>
    </row>
    <row r="125" spans="1:17" ht="21" customHeight="1">
      <c r="A125" s="784"/>
      <c r="B125" s="903"/>
      <c r="C125" s="816"/>
      <c r="D125" s="957"/>
      <c r="E125" s="973"/>
      <c r="F125" s="973"/>
      <c r="G125" s="973"/>
      <c r="H125" s="973"/>
      <c r="I125" s="973"/>
      <c r="J125" s="973"/>
      <c r="K125" s="901"/>
      <c r="L125" s="1291"/>
      <c r="M125" s="1291"/>
      <c r="N125" s="1291"/>
      <c r="O125" s="1291"/>
      <c r="P125" s="1291"/>
      <c r="Q125" s="1276"/>
    </row>
    <row r="126" spans="1:17" ht="24.75" customHeight="1">
      <c r="A126" s="863" t="s">
        <v>111</v>
      </c>
      <c r="B126" s="976" t="s">
        <v>61</v>
      </c>
      <c r="C126" s="816" t="s">
        <v>161</v>
      </c>
      <c r="D126" s="945" t="s">
        <v>6</v>
      </c>
      <c r="E126" s="973">
        <f>SUM(F126:J127)</f>
        <v>483.7</v>
      </c>
      <c r="F126" s="973">
        <v>483.7</v>
      </c>
      <c r="G126" s="973">
        <v>0</v>
      </c>
      <c r="H126" s="973">
        <v>0</v>
      </c>
      <c r="I126" s="973">
        <v>0</v>
      </c>
      <c r="J126" s="973">
        <v>0</v>
      </c>
      <c r="K126" s="900" t="s">
        <v>263</v>
      </c>
      <c r="L126" s="895" t="s">
        <v>236</v>
      </c>
      <c r="M126" s="895" t="s">
        <v>213</v>
      </c>
      <c r="N126" s="895" t="s">
        <v>213</v>
      </c>
      <c r="O126" s="895" t="s">
        <v>213</v>
      </c>
      <c r="P126" s="895" t="s">
        <v>213</v>
      </c>
      <c r="Q126" s="895" t="s">
        <v>51</v>
      </c>
    </row>
    <row r="127" spans="1:17" ht="13.5" customHeight="1">
      <c r="A127" s="863"/>
      <c r="B127" s="976"/>
      <c r="C127" s="816"/>
      <c r="D127" s="990"/>
      <c r="E127" s="951"/>
      <c r="F127" s="951"/>
      <c r="G127" s="951"/>
      <c r="H127" s="951"/>
      <c r="I127" s="951"/>
      <c r="J127" s="951"/>
      <c r="K127" s="901"/>
      <c r="L127" s="1291"/>
      <c r="M127" s="1291"/>
      <c r="N127" s="1291"/>
      <c r="O127" s="1291"/>
      <c r="P127" s="1291"/>
      <c r="Q127" s="895"/>
    </row>
    <row r="128" spans="1:17" ht="39.75" customHeight="1">
      <c r="A128" s="168" t="s">
        <v>271</v>
      </c>
      <c r="B128" s="172" t="s">
        <v>67</v>
      </c>
      <c r="C128" s="178" t="s">
        <v>272</v>
      </c>
      <c r="D128" s="160" t="s">
        <v>6</v>
      </c>
      <c r="E128" s="156">
        <f>F128+G128+H128+I128+J128</f>
        <v>815.5</v>
      </c>
      <c r="F128" s="156">
        <v>0</v>
      </c>
      <c r="G128" s="156">
        <v>215.5</v>
      </c>
      <c r="H128" s="156">
        <v>200</v>
      </c>
      <c r="I128" s="156">
        <v>200</v>
      </c>
      <c r="J128" s="156">
        <v>200</v>
      </c>
      <c r="K128" s="175" t="s">
        <v>264</v>
      </c>
      <c r="L128" s="155" t="s">
        <v>213</v>
      </c>
      <c r="M128" s="155" t="s">
        <v>236</v>
      </c>
      <c r="N128" s="155" t="s">
        <v>236</v>
      </c>
      <c r="O128" s="155" t="s">
        <v>236</v>
      </c>
      <c r="P128" s="155" t="s">
        <v>236</v>
      </c>
      <c r="Q128" s="149" t="s">
        <v>51</v>
      </c>
    </row>
    <row r="129" spans="1:17" ht="24" customHeight="1">
      <c r="A129" s="758" t="s">
        <v>113</v>
      </c>
      <c r="B129" s="902" t="s">
        <v>60</v>
      </c>
      <c r="C129" s="906" t="s">
        <v>161</v>
      </c>
      <c r="D129" s="908" t="s">
        <v>249</v>
      </c>
      <c r="E129" s="1289">
        <f>SUM(F129:J131)</f>
        <v>56647.7</v>
      </c>
      <c r="F129" s="897">
        <f>F132+F133</f>
        <v>13374.299999999997</v>
      </c>
      <c r="G129" s="897">
        <f>G132+G133</f>
        <v>11099.699999999999</v>
      </c>
      <c r="H129" s="897">
        <f>H132+H133</f>
        <v>9657.9</v>
      </c>
      <c r="I129" s="897">
        <f>I132+I133</f>
        <v>11257.9</v>
      </c>
      <c r="J129" s="897">
        <f>J132+J133</f>
        <v>11257.9</v>
      </c>
      <c r="K129" s="902" t="s">
        <v>268</v>
      </c>
      <c r="L129" s="1286" t="s">
        <v>269</v>
      </c>
      <c r="M129" s="1286" t="s">
        <v>269</v>
      </c>
      <c r="N129" s="1286" t="s">
        <v>270</v>
      </c>
      <c r="O129" s="1286" t="s">
        <v>270</v>
      </c>
      <c r="P129" s="1286" t="s">
        <v>270</v>
      </c>
      <c r="Q129" s="758"/>
    </row>
    <row r="130" spans="1:17" ht="24" customHeight="1">
      <c r="A130" s="784"/>
      <c r="B130" s="903"/>
      <c r="C130" s="907"/>
      <c r="D130" s="909"/>
      <c r="E130" s="1290"/>
      <c r="F130" s="898"/>
      <c r="G130" s="898"/>
      <c r="H130" s="898"/>
      <c r="I130" s="898"/>
      <c r="J130" s="898"/>
      <c r="K130" s="903"/>
      <c r="L130" s="1287"/>
      <c r="M130" s="1287"/>
      <c r="N130" s="1287"/>
      <c r="O130" s="1287"/>
      <c r="P130" s="1287"/>
      <c r="Q130" s="784"/>
    </row>
    <row r="131" spans="1:17" ht="9.75" customHeight="1">
      <c r="A131" s="784"/>
      <c r="B131" s="903"/>
      <c r="C131" s="907"/>
      <c r="D131" s="910"/>
      <c r="E131" s="1290"/>
      <c r="F131" s="898"/>
      <c r="G131" s="898"/>
      <c r="H131" s="898"/>
      <c r="I131" s="898"/>
      <c r="J131" s="898"/>
      <c r="K131" s="903"/>
      <c r="L131" s="1287"/>
      <c r="M131" s="1287"/>
      <c r="N131" s="1287"/>
      <c r="O131" s="1287"/>
      <c r="P131" s="1287"/>
      <c r="Q131" s="784"/>
    </row>
    <row r="132" spans="1:17" ht="9.75" customHeight="1">
      <c r="A132" s="728"/>
      <c r="B132" s="904"/>
      <c r="C132" s="731"/>
      <c r="D132" s="150" t="s">
        <v>5</v>
      </c>
      <c r="E132" s="147">
        <f aca="true" t="shared" si="29" ref="E132:J132">E135</f>
        <v>48549.59999999999</v>
      </c>
      <c r="F132" s="147">
        <f t="shared" si="29"/>
        <v>11842.399999999998</v>
      </c>
      <c r="G132" s="147">
        <f t="shared" si="29"/>
        <v>9551.8</v>
      </c>
      <c r="H132" s="147">
        <f t="shared" si="29"/>
        <v>8051.8</v>
      </c>
      <c r="I132" s="147">
        <f t="shared" si="29"/>
        <v>9551.8</v>
      </c>
      <c r="J132" s="147">
        <f t="shared" si="29"/>
        <v>9551.8</v>
      </c>
      <c r="K132" s="904"/>
      <c r="L132" s="1287"/>
      <c r="M132" s="1287"/>
      <c r="N132" s="1287"/>
      <c r="O132" s="1287"/>
      <c r="P132" s="1287"/>
      <c r="Q132" s="728"/>
    </row>
    <row r="133" spans="1:17" ht="9.75" customHeight="1">
      <c r="A133" s="729"/>
      <c r="B133" s="905"/>
      <c r="C133" s="732"/>
      <c r="D133" s="150" t="s">
        <v>6</v>
      </c>
      <c r="E133" s="147">
        <f aca="true" t="shared" si="30" ref="E133:J133">E138</f>
        <v>8098.1</v>
      </c>
      <c r="F133" s="147">
        <f t="shared" si="30"/>
        <v>1531.9</v>
      </c>
      <c r="G133" s="147">
        <f t="shared" si="30"/>
        <v>1547.9</v>
      </c>
      <c r="H133" s="147">
        <f t="shared" si="30"/>
        <v>1606.1</v>
      </c>
      <c r="I133" s="147">
        <f t="shared" si="30"/>
        <v>1706.1</v>
      </c>
      <c r="J133" s="147">
        <f t="shared" si="30"/>
        <v>1706.1</v>
      </c>
      <c r="K133" s="905"/>
      <c r="L133" s="1288"/>
      <c r="M133" s="1288"/>
      <c r="N133" s="1288"/>
      <c r="O133" s="1288"/>
      <c r="P133" s="1288"/>
      <c r="Q133" s="729"/>
    </row>
    <row r="134" spans="1:17" ht="24" customHeight="1">
      <c r="A134" s="758" t="s">
        <v>98</v>
      </c>
      <c r="B134" s="902" t="s">
        <v>114</v>
      </c>
      <c r="C134" s="906" t="s">
        <v>161</v>
      </c>
      <c r="D134" s="119" t="s">
        <v>265</v>
      </c>
      <c r="E134" s="157">
        <f aca="true" t="shared" si="31" ref="E134:J134">E135</f>
        <v>48549.59999999999</v>
      </c>
      <c r="F134" s="157">
        <f t="shared" si="31"/>
        <v>11842.399999999998</v>
      </c>
      <c r="G134" s="157">
        <f t="shared" si="31"/>
        <v>9551.8</v>
      </c>
      <c r="H134" s="157">
        <f t="shared" si="31"/>
        <v>8051.8</v>
      </c>
      <c r="I134" s="157">
        <f t="shared" si="31"/>
        <v>9551.8</v>
      </c>
      <c r="J134" s="157">
        <f t="shared" si="31"/>
        <v>9551.8</v>
      </c>
      <c r="K134" s="900" t="s">
        <v>267</v>
      </c>
      <c r="L134" s="1286" t="s">
        <v>236</v>
      </c>
      <c r="M134" s="1286" t="s">
        <v>236</v>
      </c>
      <c r="N134" s="1286" t="s">
        <v>236</v>
      </c>
      <c r="O134" s="1286" t="s">
        <v>236</v>
      </c>
      <c r="P134" s="1286" t="s">
        <v>236</v>
      </c>
      <c r="Q134" s="895" t="s">
        <v>142</v>
      </c>
    </row>
    <row r="135" spans="1:17" ht="21" customHeight="1">
      <c r="A135" s="728"/>
      <c r="B135" s="904"/>
      <c r="C135" s="731"/>
      <c r="D135" s="945" t="s">
        <v>5</v>
      </c>
      <c r="E135" s="973">
        <f>SUM(F135:J136)</f>
        <v>48549.59999999999</v>
      </c>
      <c r="F135" s="955">
        <f>10904.3-89.1-29.7+1056.9</f>
        <v>11842.399999999998</v>
      </c>
      <c r="G135" s="955">
        <v>9551.8</v>
      </c>
      <c r="H135" s="955">
        <v>8051.8</v>
      </c>
      <c r="I135" s="955">
        <v>9551.8</v>
      </c>
      <c r="J135" s="955">
        <v>9551.8</v>
      </c>
      <c r="K135" s="977"/>
      <c r="L135" s="1287"/>
      <c r="M135" s="1287"/>
      <c r="N135" s="1287"/>
      <c r="O135" s="1287"/>
      <c r="P135" s="1287"/>
      <c r="Q135" s="896"/>
    </row>
    <row r="136" spans="1:17" ht="5.25" customHeight="1">
      <c r="A136" s="729"/>
      <c r="B136" s="905"/>
      <c r="C136" s="732"/>
      <c r="D136" s="990"/>
      <c r="E136" s="951"/>
      <c r="F136" s="956"/>
      <c r="G136" s="956"/>
      <c r="H136" s="956"/>
      <c r="I136" s="956"/>
      <c r="J136" s="956"/>
      <c r="K136" s="977"/>
      <c r="L136" s="1288"/>
      <c r="M136" s="1288"/>
      <c r="N136" s="1288"/>
      <c r="O136" s="1288"/>
      <c r="P136" s="1288"/>
      <c r="Q136" s="896"/>
    </row>
    <row r="137" spans="1:17" ht="25.5" customHeight="1">
      <c r="A137" s="863" t="s">
        <v>115</v>
      </c>
      <c r="B137" s="976" t="s">
        <v>67</v>
      </c>
      <c r="C137" s="906" t="s">
        <v>161</v>
      </c>
      <c r="D137" s="119" t="s">
        <v>265</v>
      </c>
      <c r="E137" s="171">
        <f aca="true" t="shared" si="32" ref="E137:J137">E138</f>
        <v>8098.1</v>
      </c>
      <c r="F137" s="171">
        <f t="shared" si="32"/>
        <v>1531.9</v>
      </c>
      <c r="G137" s="171">
        <f t="shared" si="32"/>
        <v>1547.9</v>
      </c>
      <c r="H137" s="171">
        <f t="shared" si="32"/>
        <v>1606.1</v>
      </c>
      <c r="I137" s="171">
        <f t="shared" si="32"/>
        <v>1706.1</v>
      </c>
      <c r="J137" s="171">
        <f t="shared" si="32"/>
        <v>1706.1</v>
      </c>
      <c r="K137" s="948" t="s">
        <v>264</v>
      </c>
      <c r="L137" s="949" t="s">
        <v>236</v>
      </c>
      <c r="M137" s="949" t="s">
        <v>236</v>
      </c>
      <c r="N137" s="949" t="s">
        <v>236</v>
      </c>
      <c r="O137" s="949" t="s">
        <v>236</v>
      </c>
      <c r="P137" s="949" t="s">
        <v>236</v>
      </c>
      <c r="Q137" s="949" t="s">
        <v>142</v>
      </c>
    </row>
    <row r="138" spans="1:17" ht="16.5" customHeight="1">
      <c r="A138" s="851"/>
      <c r="B138" s="1285"/>
      <c r="C138" s="731"/>
      <c r="D138" s="945" t="s">
        <v>6</v>
      </c>
      <c r="E138" s="999">
        <f>SUM(F138:J141)</f>
        <v>8098.1</v>
      </c>
      <c r="F138" s="999">
        <v>1531.9</v>
      </c>
      <c r="G138" s="999">
        <v>1547.9</v>
      </c>
      <c r="H138" s="999">
        <v>1606.1</v>
      </c>
      <c r="I138" s="999">
        <v>1706.1</v>
      </c>
      <c r="J138" s="999">
        <v>1706.1</v>
      </c>
      <c r="K138" s="960"/>
      <c r="L138" s="1283"/>
      <c r="M138" s="1283"/>
      <c r="N138" s="1283"/>
      <c r="O138" s="1283"/>
      <c r="P138" s="1283"/>
      <c r="Q138" s="982"/>
    </row>
    <row r="139" spans="1:17" ht="11.25" customHeight="1">
      <c r="A139" s="851"/>
      <c r="B139" s="1285"/>
      <c r="C139" s="731"/>
      <c r="D139" s="946"/>
      <c r="E139" s="999"/>
      <c r="F139" s="999"/>
      <c r="G139" s="999"/>
      <c r="H139" s="999"/>
      <c r="I139" s="999"/>
      <c r="J139" s="999"/>
      <c r="K139" s="960"/>
      <c r="L139" s="1283"/>
      <c r="M139" s="1283"/>
      <c r="N139" s="1283"/>
      <c r="O139" s="1283"/>
      <c r="P139" s="1283"/>
      <c r="Q139" s="982"/>
    </row>
    <row r="140" spans="1:17" ht="10.5" customHeight="1">
      <c r="A140" s="851"/>
      <c r="B140" s="1285"/>
      <c r="C140" s="731"/>
      <c r="D140" s="946"/>
      <c r="E140" s="999"/>
      <c r="F140" s="999"/>
      <c r="G140" s="999"/>
      <c r="H140" s="999"/>
      <c r="I140" s="999"/>
      <c r="J140" s="999"/>
      <c r="K140" s="960"/>
      <c r="L140" s="1283"/>
      <c r="M140" s="1283"/>
      <c r="N140" s="1283"/>
      <c r="O140" s="1283"/>
      <c r="P140" s="1283"/>
      <c r="Q140" s="982"/>
    </row>
    <row r="141" spans="1:17" ht="12.75" customHeight="1" hidden="1">
      <c r="A141" s="851"/>
      <c r="B141" s="1285"/>
      <c r="C141" s="731"/>
      <c r="D141" s="947"/>
      <c r="E141" s="999"/>
      <c r="F141" s="999"/>
      <c r="G141" s="999"/>
      <c r="H141" s="999"/>
      <c r="I141" s="999"/>
      <c r="J141" s="999"/>
      <c r="K141" s="961"/>
      <c r="L141" s="1284"/>
      <c r="M141" s="1284"/>
      <c r="N141" s="1284"/>
      <c r="O141" s="1284"/>
      <c r="P141" s="1284"/>
      <c r="Q141" s="983"/>
    </row>
    <row r="142" spans="1:17" ht="12" customHeight="1">
      <c r="A142" s="822"/>
      <c r="B142" s="783" t="s">
        <v>49</v>
      </c>
      <c r="C142" s="822"/>
      <c r="D142" s="33" t="s">
        <v>11</v>
      </c>
      <c r="E142" s="917">
        <f aca="true" t="shared" si="33" ref="E142:J142">SUM(E144:E145)</f>
        <v>773573.9</v>
      </c>
      <c r="F142" s="917">
        <f t="shared" si="33"/>
        <v>159427.1</v>
      </c>
      <c r="G142" s="917">
        <f t="shared" si="33"/>
        <v>147878.2</v>
      </c>
      <c r="H142" s="917">
        <f t="shared" si="33"/>
        <v>146586</v>
      </c>
      <c r="I142" s="917">
        <f t="shared" si="33"/>
        <v>159841.30000000002</v>
      </c>
      <c r="J142" s="917">
        <f t="shared" si="33"/>
        <v>159841.30000000002</v>
      </c>
      <c r="K142" s="911"/>
      <c r="L142" s="1262"/>
      <c r="M142" s="1262"/>
      <c r="N142" s="1262"/>
      <c r="O142" s="1262"/>
      <c r="P142" s="1262"/>
      <c r="Q142" s="822"/>
    </row>
    <row r="143" spans="1:17" ht="12" customHeight="1">
      <c r="A143" s="822"/>
      <c r="B143" s="783"/>
      <c r="C143" s="822"/>
      <c r="D143" s="33" t="s">
        <v>12</v>
      </c>
      <c r="E143" s="917"/>
      <c r="F143" s="917"/>
      <c r="G143" s="917"/>
      <c r="H143" s="917"/>
      <c r="I143" s="917"/>
      <c r="J143" s="917"/>
      <c r="K143" s="911"/>
      <c r="L143" s="932"/>
      <c r="M143" s="932"/>
      <c r="N143" s="932"/>
      <c r="O143" s="932"/>
      <c r="P143" s="932"/>
      <c r="Q143" s="822"/>
    </row>
    <row r="144" spans="1:17" ht="12" customHeight="1">
      <c r="A144" s="822"/>
      <c r="B144" s="783"/>
      <c r="C144" s="822"/>
      <c r="D144" s="150" t="s">
        <v>5</v>
      </c>
      <c r="E144" s="147">
        <f>SUM(F144:J144)</f>
        <v>212553.6</v>
      </c>
      <c r="F144" s="147">
        <f>SUM(F135,F120,F93)</f>
        <v>51717.2</v>
      </c>
      <c r="G144" s="147">
        <f>SUM(G135,G120,G93)</f>
        <v>40569.1</v>
      </c>
      <c r="H144" s="147">
        <f>SUM(H135,H120,H93)</f>
        <v>36089.1</v>
      </c>
      <c r="I144" s="147">
        <f>SUM(I135,I120,I93)</f>
        <v>42089.1</v>
      </c>
      <c r="J144" s="147">
        <f>SUM(J135,J120,J93)</f>
        <v>42089.1</v>
      </c>
      <c r="K144" s="911"/>
      <c r="L144" s="932"/>
      <c r="M144" s="932"/>
      <c r="N144" s="932"/>
      <c r="O144" s="932"/>
      <c r="P144" s="932"/>
      <c r="Q144" s="822"/>
    </row>
    <row r="145" spans="1:17" ht="12" customHeight="1">
      <c r="A145" s="822"/>
      <c r="B145" s="783"/>
      <c r="C145" s="822"/>
      <c r="D145" s="150" t="s">
        <v>6</v>
      </c>
      <c r="E145" s="147">
        <f>SUM(F145:J145)</f>
        <v>561020.3</v>
      </c>
      <c r="F145" s="147">
        <f>SUM(F138,F126,F124,F111,F109,F106,F103,F100,F98)</f>
        <v>107709.90000000001</v>
      </c>
      <c r="G145" s="147">
        <f>G118+G133+G91</f>
        <v>107309.1</v>
      </c>
      <c r="H145" s="147">
        <f>H118+H133+H91</f>
        <v>110496.9</v>
      </c>
      <c r="I145" s="147">
        <f>I118+I133+I91</f>
        <v>117752.20000000001</v>
      </c>
      <c r="J145" s="147">
        <f>J118+J133+J91</f>
        <v>117752.20000000001</v>
      </c>
      <c r="K145" s="911"/>
      <c r="L145" s="932"/>
      <c r="M145" s="932"/>
      <c r="N145" s="932"/>
      <c r="O145" s="932"/>
      <c r="P145" s="932"/>
      <c r="Q145" s="822"/>
    </row>
    <row r="146" spans="1:17" ht="15" customHeight="1">
      <c r="A146" s="97" t="s">
        <v>116</v>
      </c>
      <c r="B146" s="1280" t="s">
        <v>117</v>
      </c>
      <c r="C146" s="1281"/>
      <c r="D146" s="1281"/>
      <c r="E146" s="1281"/>
      <c r="F146" s="1281"/>
      <c r="G146" s="1281"/>
      <c r="H146" s="1281"/>
      <c r="I146" s="1281"/>
      <c r="J146" s="1281"/>
      <c r="K146" s="1281"/>
      <c r="L146" s="1281"/>
      <c r="M146" s="1281"/>
      <c r="N146" s="1281"/>
      <c r="O146" s="1281"/>
      <c r="P146" s="1281"/>
      <c r="Q146" s="1282"/>
    </row>
    <row r="147" spans="1:17" ht="52.5" customHeight="1">
      <c r="A147" s="168" t="s">
        <v>118</v>
      </c>
      <c r="B147" s="172" t="s">
        <v>71</v>
      </c>
      <c r="C147" s="822" t="s">
        <v>161</v>
      </c>
      <c r="D147" s="119" t="s">
        <v>207</v>
      </c>
      <c r="E147" s="169">
        <f aca="true" t="shared" si="34" ref="E147:J147">SUM(E148:E150)</f>
        <v>1012.7</v>
      </c>
      <c r="F147" s="169">
        <f t="shared" si="34"/>
        <v>294.5</v>
      </c>
      <c r="G147" s="169">
        <f t="shared" si="34"/>
        <v>351.2</v>
      </c>
      <c r="H147" s="169">
        <f t="shared" si="34"/>
        <v>130</v>
      </c>
      <c r="I147" s="169">
        <f t="shared" si="34"/>
        <v>118.5</v>
      </c>
      <c r="J147" s="169">
        <f t="shared" si="34"/>
        <v>118.5</v>
      </c>
      <c r="K147" s="948" t="s">
        <v>273</v>
      </c>
      <c r="L147" s="138" t="s">
        <v>236</v>
      </c>
      <c r="M147" s="138" t="s">
        <v>236</v>
      </c>
      <c r="N147" s="138" t="s">
        <v>236</v>
      </c>
      <c r="O147" s="138" t="s">
        <v>236</v>
      </c>
      <c r="P147" s="138" t="s">
        <v>236</v>
      </c>
      <c r="Q147" s="949" t="s">
        <v>51</v>
      </c>
    </row>
    <row r="148" spans="1:17" ht="48" customHeight="1">
      <c r="A148" s="850" t="s">
        <v>287</v>
      </c>
      <c r="B148" s="1279" t="s">
        <v>286</v>
      </c>
      <c r="C148" s="978"/>
      <c r="D148" s="932" t="s">
        <v>6</v>
      </c>
      <c r="E148" s="999">
        <f>SUM(F148:J149)</f>
        <v>601.7</v>
      </c>
      <c r="F148" s="973">
        <v>98.5</v>
      </c>
      <c r="G148" s="973">
        <f>136.6-0.4</f>
        <v>136.2</v>
      </c>
      <c r="H148" s="716">
        <v>130</v>
      </c>
      <c r="I148" s="716">
        <v>118.5</v>
      </c>
      <c r="J148" s="716">
        <v>118.5</v>
      </c>
      <c r="K148" s="960"/>
      <c r="L148" s="971">
        <v>100</v>
      </c>
      <c r="M148" s="971">
        <v>100</v>
      </c>
      <c r="N148" s="971">
        <v>100</v>
      </c>
      <c r="O148" s="971">
        <v>100</v>
      </c>
      <c r="P148" s="971">
        <v>100</v>
      </c>
      <c r="Q148" s="988"/>
    </row>
    <row r="149" spans="1:17" ht="11.25" customHeight="1">
      <c r="A149" s="851"/>
      <c r="B149" s="977"/>
      <c r="C149" s="978"/>
      <c r="D149" s="932"/>
      <c r="E149" s="932"/>
      <c r="F149" s="973"/>
      <c r="G149" s="973"/>
      <c r="H149" s="716"/>
      <c r="I149" s="716"/>
      <c r="J149" s="716"/>
      <c r="K149" s="960"/>
      <c r="L149" s="972"/>
      <c r="M149" s="972"/>
      <c r="N149" s="972"/>
      <c r="O149" s="972"/>
      <c r="P149" s="972"/>
      <c r="Q149" s="988"/>
    </row>
    <row r="150" spans="1:17" ht="21" customHeight="1">
      <c r="A150" s="146" t="s">
        <v>288</v>
      </c>
      <c r="B150" s="172" t="s">
        <v>204</v>
      </c>
      <c r="C150" s="978"/>
      <c r="D150" s="150" t="s">
        <v>5</v>
      </c>
      <c r="E150" s="147">
        <f>F150+G150+H150+I150+J150</f>
        <v>411</v>
      </c>
      <c r="F150" s="147">
        <v>196</v>
      </c>
      <c r="G150" s="147">
        <v>215</v>
      </c>
      <c r="H150" s="141">
        <v>0</v>
      </c>
      <c r="I150" s="141">
        <v>0</v>
      </c>
      <c r="J150" s="141">
        <v>0</v>
      </c>
      <c r="K150" s="961"/>
      <c r="L150" s="177">
        <v>100</v>
      </c>
      <c r="M150" s="177">
        <v>100</v>
      </c>
      <c r="N150" s="177">
        <v>0</v>
      </c>
      <c r="O150" s="177">
        <v>0</v>
      </c>
      <c r="P150" s="177">
        <v>0</v>
      </c>
      <c r="Q150" s="989"/>
    </row>
    <row r="151" spans="1:17" ht="21" customHeight="1">
      <c r="A151" s="758" t="s">
        <v>119</v>
      </c>
      <c r="B151" s="902" t="s">
        <v>70</v>
      </c>
      <c r="C151" s="906" t="s">
        <v>161</v>
      </c>
      <c r="D151" s="119" t="s">
        <v>207</v>
      </c>
      <c r="E151" s="157">
        <v>11330.3</v>
      </c>
      <c r="F151" s="157">
        <v>2294.7</v>
      </c>
      <c r="G151" s="157">
        <v>2258.9</v>
      </c>
      <c r="H151" s="34">
        <v>2258.9</v>
      </c>
      <c r="I151" s="34">
        <v>2258.9</v>
      </c>
      <c r="J151" s="34">
        <v>2258.9</v>
      </c>
      <c r="K151" s="948" t="s">
        <v>274</v>
      </c>
      <c r="L151" s="949" t="s">
        <v>275</v>
      </c>
      <c r="M151" s="949" t="s">
        <v>275</v>
      </c>
      <c r="N151" s="949" t="s">
        <v>275</v>
      </c>
      <c r="O151" s="949" t="s">
        <v>275</v>
      </c>
      <c r="P151" s="949" t="s">
        <v>275</v>
      </c>
      <c r="Q151" s="949" t="s">
        <v>51</v>
      </c>
    </row>
    <row r="152" spans="1:17" ht="15.75" customHeight="1">
      <c r="A152" s="846"/>
      <c r="B152" s="904"/>
      <c r="C152" s="964"/>
      <c r="D152" s="150" t="s">
        <v>5</v>
      </c>
      <c r="E152" s="153">
        <f>SUM(F152:J152)</f>
        <v>5399.3</v>
      </c>
      <c r="F152" s="153">
        <f>1250-18.7-196</f>
        <v>1035.3</v>
      </c>
      <c r="G152" s="153">
        <f>1000+364</f>
        <v>1364</v>
      </c>
      <c r="H152" s="153">
        <v>1000</v>
      </c>
      <c r="I152" s="153">
        <v>1000</v>
      </c>
      <c r="J152" s="153">
        <v>1000</v>
      </c>
      <c r="K152" s="960"/>
      <c r="L152" s="1276"/>
      <c r="M152" s="1276"/>
      <c r="N152" s="1276"/>
      <c r="O152" s="1276"/>
      <c r="P152" s="1276"/>
      <c r="Q152" s="982"/>
    </row>
    <row r="153" spans="1:17" ht="21" customHeight="1">
      <c r="A153" s="847"/>
      <c r="B153" s="905"/>
      <c r="C153" s="965"/>
      <c r="D153" s="150" t="s">
        <v>6</v>
      </c>
      <c r="E153" s="153">
        <f>SUM(F153:J153)</f>
        <v>6295</v>
      </c>
      <c r="F153" s="153">
        <v>1259.4</v>
      </c>
      <c r="G153" s="153">
        <v>1258.9</v>
      </c>
      <c r="H153" s="153">
        <v>1258.9</v>
      </c>
      <c r="I153" s="153">
        <v>1258.9</v>
      </c>
      <c r="J153" s="153">
        <v>1258.9</v>
      </c>
      <c r="K153" s="961"/>
      <c r="L153" s="950"/>
      <c r="M153" s="950"/>
      <c r="N153" s="950"/>
      <c r="O153" s="950"/>
      <c r="P153" s="950"/>
      <c r="Q153" s="983"/>
    </row>
    <row r="154" spans="1:17" ht="14.25" customHeight="1">
      <c r="A154" s="758" t="s">
        <v>120</v>
      </c>
      <c r="B154" s="902" t="s">
        <v>133</v>
      </c>
      <c r="C154" s="906" t="s">
        <v>161</v>
      </c>
      <c r="D154" s="908" t="s">
        <v>221</v>
      </c>
      <c r="E154" s="1277">
        <f aca="true" t="shared" si="35" ref="E154:J154">SUM(E158,E164)</f>
        <v>715.4</v>
      </c>
      <c r="F154" s="1277">
        <f t="shared" si="35"/>
        <v>607.4</v>
      </c>
      <c r="G154" s="1277">
        <f t="shared" si="35"/>
        <v>27</v>
      </c>
      <c r="H154" s="1277">
        <f t="shared" si="35"/>
        <v>27</v>
      </c>
      <c r="I154" s="1277">
        <f t="shared" si="35"/>
        <v>27</v>
      </c>
      <c r="J154" s="1277">
        <f t="shared" si="35"/>
        <v>27</v>
      </c>
      <c r="K154" s="948" t="s">
        <v>263</v>
      </c>
      <c r="L154" s="949" t="s">
        <v>236</v>
      </c>
      <c r="M154" s="949" t="s">
        <v>236</v>
      </c>
      <c r="N154" s="949" t="s">
        <v>236</v>
      </c>
      <c r="O154" s="949" t="s">
        <v>236</v>
      </c>
      <c r="P154" s="949" t="s">
        <v>236</v>
      </c>
      <c r="Q154" s="949" t="s">
        <v>51</v>
      </c>
    </row>
    <row r="155" spans="1:17" ht="11.25" customHeight="1">
      <c r="A155" s="784"/>
      <c r="B155" s="903"/>
      <c r="C155" s="907"/>
      <c r="D155" s="910"/>
      <c r="E155" s="1277"/>
      <c r="F155" s="1277"/>
      <c r="G155" s="1277"/>
      <c r="H155" s="1277"/>
      <c r="I155" s="1277"/>
      <c r="J155" s="1277"/>
      <c r="K155" s="1278"/>
      <c r="L155" s="1276"/>
      <c r="M155" s="1276"/>
      <c r="N155" s="1276"/>
      <c r="O155" s="1276"/>
      <c r="P155" s="1276"/>
      <c r="Q155" s="1276"/>
    </row>
    <row r="156" spans="1:17" ht="11.25" customHeight="1">
      <c r="A156" s="729"/>
      <c r="B156" s="905"/>
      <c r="C156" s="732"/>
      <c r="D156" s="160" t="s">
        <v>5</v>
      </c>
      <c r="E156" s="153">
        <f aca="true" t="shared" si="36" ref="E156:J156">E154</f>
        <v>715.4</v>
      </c>
      <c r="F156" s="153">
        <f t="shared" si="36"/>
        <v>607.4</v>
      </c>
      <c r="G156" s="153">
        <f t="shared" si="36"/>
        <v>27</v>
      </c>
      <c r="H156" s="153">
        <f t="shared" si="36"/>
        <v>27</v>
      </c>
      <c r="I156" s="153">
        <f t="shared" si="36"/>
        <v>27</v>
      </c>
      <c r="J156" s="153">
        <f t="shared" si="36"/>
        <v>27</v>
      </c>
      <c r="K156" s="961"/>
      <c r="L156" s="950"/>
      <c r="M156" s="950"/>
      <c r="N156" s="950"/>
      <c r="O156" s="950"/>
      <c r="P156" s="950"/>
      <c r="Q156" s="983"/>
    </row>
    <row r="157" spans="1:17" ht="21" customHeight="1">
      <c r="A157" s="758" t="s">
        <v>121</v>
      </c>
      <c r="B157" s="902" t="s">
        <v>68</v>
      </c>
      <c r="C157" s="906" t="s">
        <v>161</v>
      </c>
      <c r="D157" s="119" t="s">
        <v>207</v>
      </c>
      <c r="E157" s="142">
        <f aca="true" t="shared" si="37" ref="E157:J157">E158</f>
        <v>542.4</v>
      </c>
      <c r="F157" s="142">
        <f t="shared" si="37"/>
        <v>542.4</v>
      </c>
      <c r="G157" s="142">
        <f t="shared" si="37"/>
        <v>0</v>
      </c>
      <c r="H157" s="142">
        <f t="shared" si="37"/>
        <v>0</v>
      </c>
      <c r="I157" s="142">
        <f t="shared" si="37"/>
        <v>0</v>
      </c>
      <c r="J157" s="142">
        <f t="shared" si="37"/>
        <v>0</v>
      </c>
      <c r="K157" s="948" t="s">
        <v>279</v>
      </c>
      <c r="L157" s="1273" t="s">
        <v>276</v>
      </c>
      <c r="M157" s="1273" t="s">
        <v>277</v>
      </c>
      <c r="N157" s="1273" t="s">
        <v>278</v>
      </c>
      <c r="O157" s="1273" t="s">
        <v>278</v>
      </c>
      <c r="P157" s="1273" t="s">
        <v>278</v>
      </c>
      <c r="Q157" s="949" t="s">
        <v>51</v>
      </c>
    </row>
    <row r="158" spans="1:17" ht="21" customHeight="1">
      <c r="A158" s="728"/>
      <c r="B158" s="904"/>
      <c r="C158" s="731"/>
      <c r="D158" s="945" t="s">
        <v>5</v>
      </c>
      <c r="E158" s="955">
        <f>SUM(F158:H159)</f>
        <v>542.4</v>
      </c>
      <c r="F158" s="955">
        <f>250+292.4</f>
        <v>542.4</v>
      </c>
      <c r="G158" s="955">
        <v>0</v>
      </c>
      <c r="H158" s="955">
        <v>0</v>
      </c>
      <c r="I158" s="955">
        <v>0</v>
      </c>
      <c r="J158" s="955">
        <v>0</v>
      </c>
      <c r="K158" s="960"/>
      <c r="L158" s="1276"/>
      <c r="M158" s="1276"/>
      <c r="N158" s="1276"/>
      <c r="O158" s="1276"/>
      <c r="P158" s="1276"/>
      <c r="Q158" s="982"/>
    </row>
    <row r="159" spans="1:17" ht="6.75" customHeight="1">
      <c r="A159" s="729"/>
      <c r="B159" s="905"/>
      <c r="C159" s="732"/>
      <c r="D159" s="990"/>
      <c r="E159" s="956"/>
      <c r="F159" s="956"/>
      <c r="G159" s="956"/>
      <c r="H159" s="956"/>
      <c r="I159" s="956"/>
      <c r="J159" s="956"/>
      <c r="K159" s="961"/>
      <c r="L159" s="950"/>
      <c r="M159" s="950"/>
      <c r="N159" s="950"/>
      <c r="O159" s="950"/>
      <c r="P159" s="950"/>
      <c r="Q159" s="983"/>
    </row>
    <row r="160" spans="1:17" ht="24" customHeight="1">
      <c r="A160" s="758" t="s">
        <v>122</v>
      </c>
      <c r="B160" s="902" t="s">
        <v>153</v>
      </c>
      <c r="C160" s="906" t="s">
        <v>161</v>
      </c>
      <c r="D160" s="119" t="s">
        <v>207</v>
      </c>
      <c r="E160" s="143">
        <f aca="true" t="shared" si="38" ref="E160:J160">E161</f>
        <v>0</v>
      </c>
      <c r="F160" s="143">
        <f t="shared" si="38"/>
        <v>0</v>
      </c>
      <c r="G160" s="143">
        <f t="shared" si="38"/>
        <v>0</v>
      </c>
      <c r="H160" s="143">
        <f t="shared" si="38"/>
        <v>0</v>
      </c>
      <c r="I160" s="143">
        <f t="shared" si="38"/>
        <v>0</v>
      </c>
      <c r="J160" s="143">
        <f t="shared" si="38"/>
        <v>0</v>
      </c>
      <c r="K160" s="948" t="s">
        <v>281</v>
      </c>
      <c r="L160" s="1273" t="s">
        <v>280</v>
      </c>
      <c r="M160" s="1273" t="s">
        <v>282</v>
      </c>
      <c r="N160" s="1273" t="s">
        <v>283</v>
      </c>
      <c r="O160" s="1273" t="s">
        <v>283</v>
      </c>
      <c r="P160" s="1273" t="s">
        <v>283</v>
      </c>
      <c r="Q160" s="949" t="s">
        <v>51</v>
      </c>
    </row>
    <row r="161" spans="1:17" ht="17.25" customHeight="1">
      <c r="A161" s="728"/>
      <c r="B161" s="904"/>
      <c r="C161" s="731"/>
      <c r="D161" s="945" t="s">
        <v>5</v>
      </c>
      <c r="E161" s="955">
        <f>SUM(F161:H162)</f>
        <v>0</v>
      </c>
      <c r="F161" s="955">
        <f>20-20</f>
        <v>0</v>
      </c>
      <c r="G161" s="955">
        <v>0</v>
      </c>
      <c r="H161" s="955">
        <v>0</v>
      </c>
      <c r="I161" s="955">
        <v>0</v>
      </c>
      <c r="J161" s="955">
        <v>0</v>
      </c>
      <c r="K161" s="960"/>
      <c r="L161" s="1274"/>
      <c r="M161" s="1274"/>
      <c r="N161" s="1274"/>
      <c r="O161" s="1274"/>
      <c r="P161" s="1274"/>
      <c r="Q161" s="982"/>
    </row>
    <row r="162" spans="1:17" ht="12" customHeight="1">
      <c r="A162" s="729"/>
      <c r="B162" s="905"/>
      <c r="C162" s="732"/>
      <c r="D162" s="990"/>
      <c r="E162" s="956"/>
      <c r="F162" s="956"/>
      <c r="G162" s="956"/>
      <c r="H162" s="956"/>
      <c r="I162" s="956"/>
      <c r="J162" s="956"/>
      <c r="K162" s="961"/>
      <c r="L162" s="1275"/>
      <c r="M162" s="1275"/>
      <c r="N162" s="1275"/>
      <c r="O162" s="1275"/>
      <c r="P162" s="1275"/>
      <c r="Q162" s="983"/>
    </row>
    <row r="163" spans="1:17" ht="21.75" customHeight="1">
      <c r="A163" s="758" t="s">
        <v>123</v>
      </c>
      <c r="B163" s="902" t="s">
        <v>69</v>
      </c>
      <c r="C163" s="906" t="s">
        <v>161</v>
      </c>
      <c r="D163" s="119" t="s">
        <v>207</v>
      </c>
      <c r="E163" s="143">
        <f aca="true" t="shared" si="39" ref="E163:J163">E164</f>
        <v>173</v>
      </c>
      <c r="F163" s="143">
        <f t="shared" si="39"/>
        <v>65</v>
      </c>
      <c r="G163" s="143">
        <f t="shared" si="39"/>
        <v>27</v>
      </c>
      <c r="H163" s="143">
        <f t="shared" si="39"/>
        <v>27</v>
      </c>
      <c r="I163" s="143">
        <f t="shared" si="39"/>
        <v>27</v>
      </c>
      <c r="J163" s="143">
        <f t="shared" si="39"/>
        <v>27</v>
      </c>
      <c r="K163" s="948" t="s">
        <v>284</v>
      </c>
      <c r="L163" s="1273" t="s">
        <v>236</v>
      </c>
      <c r="M163" s="1273" t="s">
        <v>236</v>
      </c>
      <c r="N163" s="1273" t="s">
        <v>236</v>
      </c>
      <c r="O163" s="1273" t="s">
        <v>236</v>
      </c>
      <c r="P163" s="1273" t="s">
        <v>236</v>
      </c>
      <c r="Q163" s="949" t="s">
        <v>51</v>
      </c>
    </row>
    <row r="164" spans="1:17" ht="21.75" customHeight="1">
      <c r="A164" s="728"/>
      <c r="B164" s="904"/>
      <c r="C164" s="731"/>
      <c r="D164" s="945" t="s">
        <v>5</v>
      </c>
      <c r="E164" s="955">
        <f>SUM(F164:J164)</f>
        <v>173</v>
      </c>
      <c r="F164" s="955">
        <v>65</v>
      </c>
      <c r="G164" s="955">
        <v>27</v>
      </c>
      <c r="H164" s="955">
        <v>27</v>
      </c>
      <c r="I164" s="955">
        <v>27</v>
      </c>
      <c r="J164" s="955">
        <v>27</v>
      </c>
      <c r="K164" s="961"/>
      <c r="L164" s="983"/>
      <c r="M164" s="983"/>
      <c r="N164" s="983"/>
      <c r="O164" s="983"/>
      <c r="P164" s="983"/>
      <c r="Q164" s="982"/>
    </row>
    <row r="165" spans="1:17" ht="23.25" customHeight="1" thickBot="1">
      <c r="A165" s="729"/>
      <c r="B165" s="905"/>
      <c r="C165" s="732"/>
      <c r="D165" s="957"/>
      <c r="E165" s="958"/>
      <c r="F165" s="958"/>
      <c r="G165" s="958"/>
      <c r="H165" s="958"/>
      <c r="I165" s="958"/>
      <c r="J165" s="958"/>
      <c r="K165" s="166" t="s">
        <v>285</v>
      </c>
      <c r="L165" s="138" t="s">
        <v>236</v>
      </c>
      <c r="M165" s="138" t="s">
        <v>236</v>
      </c>
      <c r="N165" s="138" t="s">
        <v>236</v>
      </c>
      <c r="O165" s="138" t="s">
        <v>236</v>
      </c>
      <c r="P165" s="138" t="s">
        <v>236</v>
      </c>
      <c r="Q165" s="983"/>
    </row>
    <row r="166" spans="1:17" ht="12" customHeight="1">
      <c r="A166" s="822"/>
      <c r="B166" s="783" t="s">
        <v>124</v>
      </c>
      <c r="C166" s="816"/>
      <c r="D166" s="36" t="s">
        <v>11</v>
      </c>
      <c r="E166" s="916">
        <f aca="true" t="shared" si="40" ref="E166:J166">SUM(E168:E169)</f>
        <v>13422.399999999998</v>
      </c>
      <c r="F166" s="916">
        <f t="shared" si="40"/>
        <v>3196.6</v>
      </c>
      <c r="G166" s="916">
        <f t="shared" si="40"/>
        <v>3001.1000000000004</v>
      </c>
      <c r="H166" s="918">
        <f t="shared" si="40"/>
        <v>2415.9</v>
      </c>
      <c r="I166" s="918">
        <f t="shared" si="40"/>
        <v>2404.4</v>
      </c>
      <c r="J166" s="918">
        <f t="shared" si="40"/>
        <v>2404.4</v>
      </c>
      <c r="K166" s="1270"/>
      <c r="L166" s="1262"/>
      <c r="M166" s="1262"/>
      <c r="N166" s="1262"/>
      <c r="O166" s="1262"/>
      <c r="P166" s="1262"/>
      <c r="Q166" s="822"/>
    </row>
    <row r="167" spans="1:17" ht="12" customHeight="1">
      <c r="A167" s="822"/>
      <c r="B167" s="783"/>
      <c r="C167" s="816"/>
      <c r="D167" s="37" t="s">
        <v>12</v>
      </c>
      <c r="E167" s="917"/>
      <c r="F167" s="917"/>
      <c r="G167" s="917"/>
      <c r="H167" s="919"/>
      <c r="I167" s="919"/>
      <c r="J167" s="919"/>
      <c r="K167" s="1271"/>
      <c r="L167" s="932"/>
      <c r="M167" s="932"/>
      <c r="N167" s="932"/>
      <c r="O167" s="932"/>
      <c r="P167" s="932"/>
      <c r="Q167" s="822"/>
    </row>
    <row r="168" spans="1:17" ht="12" customHeight="1">
      <c r="A168" s="822"/>
      <c r="B168" s="783"/>
      <c r="C168" s="816"/>
      <c r="D168" s="38" t="s">
        <v>5</v>
      </c>
      <c r="E168" s="147">
        <f>SUM(F168:J168)</f>
        <v>6525.7</v>
      </c>
      <c r="F168" s="147">
        <f>SUM(F154,F152,F150)</f>
        <v>1838.6999999999998</v>
      </c>
      <c r="G168" s="147">
        <f>SUM(G154,G152,G150)</f>
        <v>1606</v>
      </c>
      <c r="H168" s="147">
        <f>SUM(H154,H152,H150)</f>
        <v>1027</v>
      </c>
      <c r="I168" s="147">
        <f>SUM(I154,I152,I150)</f>
        <v>1027</v>
      </c>
      <c r="J168" s="147">
        <f>SUM(J154,J152,J150)</f>
        <v>1027</v>
      </c>
      <c r="K168" s="1271"/>
      <c r="L168" s="932"/>
      <c r="M168" s="932"/>
      <c r="N168" s="932"/>
      <c r="O168" s="932"/>
      <c r="P168" s="932"/>
      <c r="Q168" s="822"/>
    </row>
    <row r="169" spans="1:17" ht="12" customHeight="1" thickBot="1">
      <c r="A169" s="822"/>
      <c r="B169" s="783"/>
      <c r="C169" s="816"/>
      <c r="D169" s="39" t="s">
        <v>6</v>
      </c>
      <c r="E169" s="44">
        <f>SUM(F169:J169)</f>
        <v>6896.699999999999</v>
      </c>
      <c r="F169" s="44">
        <f>SUM(F148,F153)</f>
        <v>1357.9</v>
      </c>
      <c r="G169" s="44">
        <f>SUM(G148,G153)</f>
        <v>1395.1000000000001</v>
      </c>
      <c r="H169" s="45">
        <f>SUM(H148,H153)</f>
        <v>1388.9</v>
      </c>
      <c r="I169" s="45">
        <f>SUM(I148,I153)</f>
        <v>1377.4</v>
      </c>
      <c r="J169" s="45">
        <f>SUM(J148,J153)</f>
        <v>1377.4</v>
      </c>
      <c r="K169" s="1272"/>
      <c r="L169" s="932"/>
      <c r="M169" s="932"/>
      <c r="N169" s="932"/>
      <c r="O169" s="932"/>
      <c r="P169" s="932"/>
      <c r="Q169" s="822"/>
    </row>
    <row r="170" spans="1:17" ht="15.75" customHeight="1">
      <c r="A170" s="816"/>
      <c r="B170" s="1139" t="s">
        <v>13</v>
      </c>
      <c r="C170" s="1141"/>
      <c r="D170" s="1267" t="s">
        <v>220</v>
      </c>
      <c r="E170" s="1263">
        <f aca="true" t="shared" si="41" ref="E170:J170">SUM(E172:E173)</f>
        <v>802469.6</v>
      </c>
      <c r="F170" s="1269">
        <f t="shared" si="41"/>
        <v>173578.2</v>
      </c>
      <c r="G170" s="1263">
        <f>SUM(G172:G173)</f>
        <v>154213.1</v>
      </c>
      <c r="H170" s="1264">
        <f t="shared" si="41"/>
        <v>149396.9</v>
      </c>
      <c r="I170" s="1264">
        <f t="shared" si="41"/>
        <v>162640.7</v>
      </c>
      <c r="J170" s="1264">
        <f t="shared" si="41"/>
        <v>162640.7</v>
      </c>
      <c r="K170" s="981"/>
      <c r="L170" s="932"/>
      <c r="M170" s="932"/>
      <c r="N170" s="932"/>
      <c r="O170" s="932"/>
      <c r="P170" s="932"/>
      <c r="Q170" s="822"/>
    </row>
    <row r="171" spans="1:17" ht="15.75" customHeight="1" thickBot="1">
      <c r="A171" s="816"/>
      <c r="B171" s="1140"/>
      <c r="C171" s="1142"/>
      <c r="D171" s="1268"/>
      <c r="E171" s="1263"/>
      <c r="F171" s="1269"/>
      <c r="G171" s="1263"/>
      <c r="H171" s="1264"/>
      <c r="I171" s="1264"/>
      <c r="J171" s="1264"/>
      <c r="K171" s="981"/>
      <c r="L171" s="932"/>
      <c r="M171" s="932"/>
      <c r="N171" s="932"/>
      <c r="O171" s="932"/>
      <c r="P171" s="932"/>
      <c r="Q171" s="822"/>
    </row>
    <row r="172" spans="1:17" ht="15.75" customHeight="1" thickBot="1">
      <c r="A172" s="816"/>
      <c r="B172" s="1140"/>
      <c r="C172" s="1142"/>
      <c r="D172" s="40" t="s">
        <v>5</v>
      </c>
      <c r="E172" s="46">
        <f>SUM(F172:J172)</f>
        <v>233964.30000000002</v>
      </c>
      <c r="F172" s="47">
        <f>SUM(F168,F144,F83,F36,F26,F16)</f>
        <v>64241.399999999994</v>
      </c>
      <c r="G172" s="47">
        <f>SUM(G168,G144,G83,G36,G26,G16,)</f>
        <v>45189.6</v>
      </c>
      <c r="H172" s="47">
        <f>SUM(H168,H144,H83,H36,H26,H16)</f>
        <v>37511.1</v>
      </c>
      <c r="I172" s="47">
        <f>SUM(I168,I144,I83,I36,I26,I16)</f>
        <v>43511.1</v>
      </c>
      <c r="J172" s="47">
        <f>SUM(J168,J144,J83,J36,J26,J16)</f>
        <v>43511.1</v>
      </c>
      <c r="K172" s="981"/>
      <c r="L172" s="932"/>
      <c r="M172" s="932"/>
      <c r="N172" s="932"/>
      <c r="O172" s="932"/>
      <c r="P172" s="932"/>
      <c r="Q172" s="822"/>
    </row>
    <row r="173" spans="1:17" ht="15.75" customHeight="1" thickBot="1">
      <c r="A173" s="816"/>
      <c r="B173" s="1265"/>
      <c r="C173" s="1266"/>
      <c r="D173" s="41" t="s">
        <v>6</v>
      </c>
      <c r="E173" s="48">
        <f>SUM(F173:J173)</f>
        <v>568505.2999999999</v>
      </c>
      <c r="F173" s="49">
        <f>SUM(F169,F145,F84)</f>
        <v>109336.8</v>
      </c>
      <c r="G173" s="49">
        <f>SUM(G169,G145,G84)</f>
        <v>109023.50000000001</v>
      </c>
      <c r="H173" s="49">
        <f>SUM(H169,H145)</f>
        <v>111885.79999999999</v>
      </c>
      <c r="I173" s="49">
        <f>SUM(I169,I145)</f>
        <v>119129.6</v>
      </c>
      <c r="J173" s="49">
        <f>SUM(J169,J145)</f>
        <v>119129.6</v>
      </c>
      <c r="K173" s="981"/>
      <c r="L173" s="932"/>
      <c r="M173" s="932"/>
      <c r="N173" s="932"/>
      <c r="O173" s="932"/>
      <c r="P173" s="932"/>
      <c r="Q173" s="822"/>
    </row>
    <row r="176" ht="18.75" customHeight="1">
      <c r="F176" s="96"/>
    </row>
    <row r="177" spans="6:9" ht="18.75" customHeight="1">
      <c r="F177" s="96"/>
      <c r="G177" s="96"/>
      <c r="I177" s="96"/>
    </row>
  </sheetData>
  <sheetProtection/>
  <mergeCells count="672">
    <mergeCell ref="A2:Q2"/>
    <mergeCell ref="A4:A5"/>
    <mergeCell ref="B4:B5"/>
    <mergeCell ref="C4:C5"/>
    <mergeCell ref="D4:D5"/>
    <mergeCell ref="E4:J4"/>
    <mergeCell ref="K4:P4"/>
    <mergeCell ref="Q4:Q5"/>
    <mergeCell ref="B7:Q7"/>
    <mergeCell ref="B8:Q8"/>
    <mergeCell ref="A9:A13"/>
    <mergeCell ref="B9:B13"/>
    <mergeCell ref="C9:C13"/>
    <mergeCell ref="K9:K13"/>
    <mergeCell ref="L9:L13"/>
    <mergeCell ref="M9:M13"/>
    <mergeCell ref="N9:N13"/>
    <mergeCell ref="O9:O13"/>
    <mergeCell ref="P9:P13"/>
    <mergeCell ref="Q9:Q13"/>
    <mergeCell ref="D10:D13"/>
    <mergeCell ref="E10:E13"/>
    <mergeCell ref="F10:F13"/>
    <mergeCell ref="G10:G13"/>
    <mergeCell ref="H10:H13"/>
    <mergeCell ref="I10:I13"/>
    <mergeCell ref="J10:J13"/>
    <mergeCell ref="K14:K17"/>
    <mergeCell ref="L14:L17"/>
    <mergeCell ref="A14:A17"/>
    <mergeCell ref="B14:B17"/>
    <mergeCell ref="C14:C17"/>
    <mergeCell ref="D14:D15"/>
    <mergeCell ref="E14:E15"/>
    <mergeCell ref="F14:F15"/>
    <mergeCell ref="M14:M17"/>
    <mergeCell ref="N14:N17"/>
    <mergeCell ref="O14:O17"/>
    <mergeCell ref="P14:P17"/>
    <mergeCell ref="Q14:Q17"/>
    <mergeCell ref="B18:Q18"/>
    <mergeCell ref="G14:G15"/>
    <mergeCell ref="H14:H15"/>
    <mergeCell ref="I14:I15"/>
    <mergeCell ref="J14:J15"/>
    <mergeCell ref="A19:A23"/>
    <mergeCell ref="B19:B23"/>
    <mergeCell ref="C19:C23"/>
    <mergeCell ref="K19:K23"/>
    <mergeCell ref="L19:L23"/>
    <mergeCell ref="M19:M23"/>
    <mergeCell ref="J20:J21"/>
    <mergeCell ref="D22:D23"/>
    <mergeCell ref="E22:E23"/>
    <mergeCell ref="F22:F23"/>
    <mergeCell ref="N19:N23"/>
    <mergeCell ref="O19:O23"/>
    <mergeCell ref="P19:P23"/>
    <mergeCell ref="Q19:Q23"/>
    <mergeCell ref="D20:D21"/>
    <mergeCell ref="E20:E21"/>
    <mergeCell ref="F20:F21"/>
    <mergeCell ref="G20:G21"/>
    <mergeCell ref="H20:H21"/>
    <mergeCell ref="I20:I21"/>
    <mergeCell ref="A24:A27"/>
    <mergeCell ref="B24:B27"/>
    <mergeCell ref="C24:C27"/>
    <mergeCell ref="D24:D25"/>
    <mergeCell ref="E24:E25"/>
    <mergeCell ref="F24:F25"/>
    <mergeCell ref="K24:K27"/>
    <mergeCell ref="L24:L27"/>
    <mergeCell ref="G22:G23"/>
    <mergeCell ref="H22:H23"/>
    <mergeCell ref="I22:I23"/>
    <mergeCell ref="J22:J23"/>
    <mergeCell ref="M24:M27"/>
    <mergeCell ref="N24:N27"/>
    <mergeCell ref="O24:O27"/>
    <mergeCell ref="P24:P27"/>
    <mergeCell ref="Q24:Q27"/>
    <mergeCell ref="B28:Q28"/>
    <mergeCell ref="G24:G25"/>
    <mergeCell ref="H24:H25"/>
    <mergeCell ref="I24:I25"/>
    <mergeCell ref="J24:J25"/>
    <mergeCell ref="A29:A33"/>
    <mergeCell ref="B29:B33"/>
    <mergeCell ref="C29:C33"/>
    <mergeCell ref="K29:K31"/>
    <mergeCell ref="L29:L31"/>
    <mergeCell ref="M29:M31"/>
    <mergeCell ref="J30:J33"/>
    <mergeCell ref="K32:K33"/>
    <mergeCell ref="L32:L33"/>
    <mergeCell ref="M32:M33"/>
    <mergeCell ref="N29:N31"/>
    <mergeCell ref="O29:O31"/>
    <mergeCell ref="P29:P31"/>
    <mergeCell ref="Q29:Q33"/>
    <mergeCell ref="D30:D33"/>
    <mergeCell ref="E30:E33"/>
    <mergeCell ref="F30:F33"/>
    <mergeCell ref="G30:G33"/>
    <mergeCell ref="H30:H33"/>
    <mergeCell ref="I30:I33"/>
    <mergeCell ref="N32:N33"/>
    <mergeCell ref="O32:O33"/>
    <mergeCell ref="P32:P33"/>
    <mergeCell ref="A34:A37"/>
    <mergeCell ref="B34:B37"/>
    <mergeCell ref="C34:C37"/>
    <mergeCell ref="D34:D35"/>
    <mergeCell ref="E34:E35"/>
    <mergeCell ref="F34:F35"/>
    <mergeCell ref="G34:G35"/>
    <mergeCell ref="H34:H35"/>
    <mergeCell ref="I34:I35"/>
    <mergeCell ref="J34:J35"/>
    <mergeCell ref="K34:K37"/>
    <mergeCell ref="L34:L37"/>
    <mergeCell ref="M34:M37"/>
    <mergeCell ref="N34:N37"/>
    <mergeCell ref="O34:O37"/>
    <mergeCell ref="P34:P37"/>
    <mergeCell ref="Q34:Q37"/>
    <mergeCell ref="B38:Q38"/>
    <mergeCell ref="A39:A43"/>
    <mergeCell ref="B39:B43"/>
    <mergeCell ref="C39:C43"/>
    <mergeCell ref="K39:K43"/>
    <mergeCell ref="D40:D43"/>
    <mergeCell ref="E40:E41"/>
    <mergeCell ref="F40:F41"/>
    <mergeCell ref="G40:G41"/>
    <mergeCell ref="H40:H41"/>
    <mergeCell ref="I40:I41"/>
    <mergeCell ref="J40:J41"/>
    <mergeCell ref="L40:L41"/>
    <mergeCell ref="M40:M41"/>
    <mergeCell ref="N40:N41"/>
    <mergeCell ref="O40:O41"/>
    <mergeCell ref="P40:P41"/>
    <mergeCell ref="Q40:Q41"/>
    <mergeCell ref="E42:E43"/>
    <mergeCell ref="F42:F43"/>
    <mergeCell ref="G42:G43"/>
    <mergeCell ref="H42:H43"/>
    <mergeCell ref="I42:I43"/>
    <mergeCell ref="J42:J43"/>
    <mergeCell ref="L42:L43"/>
    <mergeCell ref="M42:M43"/>
    <mergeCell ref="N42:N43"/>
    <mergeCell ref="O42:O43"/>
    <mergeCell ref="P42:P43"/>
    <mergeCell ref="Q42:Q43"/>
    <mergeCell ref="A44:A46"/>
    <mergeCell ref="B44:B46"/>
    <mergeCell ref="C44:C46"/>
    <mergeCell ref="K44:K46"/>
    <mergeCell ref="A47:A49"/>
    <mergeCell ref="B47:B49"/>
    <mergeCell ref="C47:C49"/>
    <mergeCell ref="K47:K49"/>
    <mergeCell ref="A50:A52"/>
    <mergeCell ref="B50:B52"/>
    <mergeCell ref="C50:C52"/>
    <mergeCell ref="K50:K52"/>
    <mergeCell ref="A53:A57"/>
    <mergeCell ref="B53:B57"/>
    <mergeCell ref="C53:C57"/>
    <mergeCell ref="D53:D55"/>
    <mergeCell ref="E53:E55"/>
    <mergeCell ref="F53:F55"/>
    <mergeCell ref="G53:G55"/>
    <mergeCell ref="H53:H55"/>
    <mergeCell ref="I53:I55"/>
    <mergeCell ref="J53:J55"/>
    <mergeCell ref="K53:K57"/>
    <mergeCell ref="L53:L57"/>
    <mergeCell ref="M53:M57"/>
    <mergeCell ref="N53:N57"/>
    <mergeCell ref="O53:O57"/>
    <mergeCell ref="P53:P57"/>
    <mergeCell ref="Q53:Q57"/>
    <mergeCell ref="A58:A60"/>
    <mergeCell ref="B58:B60"/>
    <mergeCell ref="C58:C60"/>
    <mergeCell ref="K58:K60"/>
    <mergeCell ref="L58:L60"/>
    <mergeCell ref="M58:M60"/>
    <mergeCell ref="N58:N60"/>
    <mergeCell ref="O58:O60"/>
    <mergeCell ref="P58:P60"/>
    <mergeCell ref="Q58:Q60"/>
    <mergeCell ref="D59:D60"/>
    <mergeCell ref="E59:E60"/>
    <mergeCell ref="F59:F60"/>
    <mergeCell ref="G59:G60"/>
    <mergeCell ref="H59:H60"/>
    <mergeCell ref="Q61:Q63"/>
    <mergeCell ref="I59:I60"/>
    <mergeCell ref="J59:J60"/>
    <mergeCell ref="A61:A63"/>
    <mergeCell ref="B61:B63"/>
    <mergeCell ref="C61:C63"/>
    <mergeCell ref="K61:K63"/>
    <mergeCell ref="D62:D63"/>
    <mergeCell ref="E62:E63"/>
    <mergeCell ref="F62:F63"/>
    <mergeCell ref="A64:A65"/>
    <mergeCell ref="B64:B65"/>
    <mergeCell ref="C64:C65"/>
    <mergeCell ref="L61:L63"/>
    <mergeCell ref="M61:M63"/>
    <mergeCell ref="N61:N63"/>
    <mergeCell ref="G62:G63"/>
    <mergeCell ref="L64:L65"/>
    <mergeCell ref="M64:M65"/>
    <mergeCell ref="N64:N65"/>
    <mergeCell ref="O64:O65"/>
    <mergeCell ref="P64:P65"/>
    <mergeCell ref="H62:H63"/>
    <mergeCell ref="I62:I63"/>
    <mergeCell ref="J62:J63"/>
    <mergeCell ref="O61:O63"/>
    <mergeCell ref="P61:P63"/>
    <mergeCell ref="Q64:Q65"/>
    <mergeCell ref="C66:C68"/>
    <mergeCell ref="K66:K68"/>
    <mergeCell ref="L66:L68"/>
    <mergeCell ref="M66:M68"/>
    <mergeCell ref="N66:N68"/>
    <mergeCell ref="O66:O68"/>
    <mergeCell ref="P66:P68"/>
    <mergeCell ref="Q66:Q68"/>
    <mergeCell ref="K64:K65"/>
    <mergeCell ref="A69:A74"/>
    <mergeCell ref="B69:B74"/>
    <mergeCell ref="C69:C74"/>
    <mergeCell ref="D69:D72"/>
    <mergeCell ref="E69:E72"/>
    <mergeCell ref="F69:F72"/>
    <mergeCell ref="G69:G72"/>
    <mergeCell ref="H69:H72"/>
    <mergeCell ref="I69:I72"/>
    <mergeCell ref="J69:J72"/>
    <mergeCell ref="K69:K74"/>
    <mergeCell ref="L69:L74"/>
    <mergeCell ref="M69:M74"/>
    <mergeCell ref="N69:N74"/>
    <mergeCell ref="O69:O74"/>
    <mergeCell ref="P69:P74"/>
    <mergeCell ref="Q69:Q74"/>
    <mergeCell ref="A75:A77"/>
    <mergeCell ref="B75:B77"/>
    <mergeCell ref="C75:C77"/>
    <mergeCell ref="K75:K77"/>
    <mergeCell ref="L75:L77"/>
    <mergeCell ref="M75:M77"/>
    <mergeCell ref="N75:N77"/>
    <mergeCell ref="O75:O77"/>
    <mergeCell ref="P75:P77"/>
    <mergeCell ref="Q75:Q77"/>
    <mergeCell ref="D76:D77"/>
    <mergeCell ref="E76:E77"/>
    <mergeCell ref="F76:F77"/>
    <mergeCell ref="G76:G77"/>
    <mergeCell ref="H76:H77"/>
    <mergeCell ref="I76:I77"/>
    <mergeCell ref="J76:J77"/>
    <mergeCell ref="A78:A80"/>
    <mergeCell ref="B78:B80"/>
    <mergeCell ref="C78:C80"/>
    <mergeCell ref="K78:K80"/>
    <mergeCell ref="L78:L80"/>
    <mergeCell ref="M78:M80"/>
    <mergeCell ref="N78:N80"/>
    <mergeCell ref="O78:O80"/>
    <mergeCell ref="P78:P80"/>
    <mergeCell ref="Q78:Q80"/>
    <mergeCell ref="K81:K84"/>
    <mergeCell ref="L81:L84"/>
    <mergeCell ref="A81:A84"/>
    <mergeCell ref="B81:B84"/>
    <mergeCell ref="C81:C84"/>
    <mergeCell ref="D81:D82"/>
    <mergeCell ref="E81:E82"/>
    <mergeCell ref="F81:F82"/>
    <mergeCell ref="M81:M84"/>
    <mergeCell ref="N81:N84"/>
    <mergeCell ref="O81:O84"/>
    <mergeCell ref="P81:P84"/>
    <mergeCell ref="Q81:Q84"/>
    <mergeCell ref="B85:Q85"/>
    <mergeCell ref="G81:G82"/>
    <mergeCell ref="H81:H82"/>
    <mergeCell ref="I81:I82"/>
    <mergeCell ref="J81:J82"/>
    <mergeCell ref="A86:A91"/>
    <mergeCell ref="B86:B91"/>
    <mergeCell ref="C86:C91"/>
    <mergeCell ref="D86:D89"/>
    <mergeCell ref="E86:E89"/>
    <mergeCell ref="F86:F89"/>
    <mergeCell ref="G86:G89"/>
    <mergeCell ref="H86:H89"/>
    <mergeCell ref="I86:I89"/>
    <mergeCell ref="J86:J89"/>
    <mergeCell ref="K86:K91"/>
    <mergeCell ref="L86:L91"/>
    <mergeCell ref="M86:M91"/>
    <mergeCell ref="N86:N91"/>
    <mergeCell ref="O86:O91"/>
    <mergeCell ref="P86:P91"/>
    <mergeCell ref="Q86:Q91"/>
    <mergeCell ref="A92:A93"/>
    <mergeCell ref="B92:B93"/>
    <mergeCell ref="C92:C93"/>
    <mergeCell ref="K92:K93"/>
    <mergeCell ref="L92:L93"/>
    <mergeCell ref="M92:M93"/>
    <mergeCell ref="N92:N93"/>
    <mergeCell ref="O92:O93"/>
    <mergeCell ref="P92:P93"/>
    <mergeCell ref="Q92:Q93"/>
    <mergeCell ref="A94:A96"/>
    <mergeCell ref="B94:B96"/>
    <mergeCell ref="C94:C96"/>
    <mergeCell ref="D94:D95"/>
    <mergeCell ref="E94:E95"/>
    <mergeCell ref="F94:F95"/>
    <mergeCell ref="G94:G95"/>
    <mergeCell ref="H94:H95"/>
    <mergeCell ref="I94:I95"/>
    <mergeCell ref="J94:J95"/>
    <mergeCell ref="K94:K96"/>
    <mergeCell ref="L94:L96"/>
    <mergeCell ref="M94:M96"/>
    <mergeCell ref="N94:N96"/>
    <mergeCell ref="O94:O96"/>
    <mergeCell ref="P94:P96"/>
    <mergeCell ref="Q94:Q96"/>
    <mergeCell ref="A97:A101"/>
    <mergeCell ref="B97:B101"/>
    <mergeCell ref="C97:C101"/>
    <mergeCell ref="K97:K101"/>
    <mergeCell ref="L97:L101"/>
    <mergeCell ref="M97:M101"/>
    <mergeCell ref="J98:J101"/>
    <mergeCell ref="N97:N101"/>
    <mergeCell ref="O97:O101"/>
    <mergeCell ref="P97:P101"/>
    <mergeCell ref="Q97:Q101"/>
    <mergeCell ref="D98:D101"/>
    <mergeCell ref="E98:E101"/>
    <mergeCell ref="F98:F101"/>
    <mergeCell ref="G98:G101"/>
    <mergeCell ref="H98:H101"/>
    <mergeCell ref="I98:I101"/>
    <mergeCell ref="A102:A104"/>
    <mergeCell ref="B102:B104"/>
    <mergeCell ref="C102:C104"/>
    <mergeCell ref="K102:K104"/>
    <mergeCell ref="L102:L104"/>
    <mergeCell ref="M102:M104"/>
    <mergeCell ref="N102:N104"/>
    <mergeCell ref="O102:O104"/>
    <mergeCell ref="P102:P104"/>
    <mergeCell ref="A105:A106"/>
    <mergeCell ref="B105:B106"/>
    <mergeCell ref="C105:C107"/>
    <mergeCell ref="K105:K106"/>
    <mergeCell ref="L105:L106"/>
    <mergeCell ref="M105:M106"/>
    <mergeCell ref="N105:N106"/>
    <mergeCell ref="O105:O106"/>
    <mergeCell ref="P105:P106"/>
    <mergeCell ref="A108:A109"/>
    <mergeCell ref="B108:B109"/>
    <mergeCell ref="C108:C109"/>
    <mergeCell ref="K108:K109"/>
    <mergeCell ref="L108:L109"/>
    <mergeCell ref="M108:M109"/>
    <mergeCell ref="N108:N109"/>
    <mergeCell ref="O108:O109"/>
    <mergeCell ref="P108:P109"/>
    <mergeCell ref="A110:A112"/>
    <mergeCell ref="B110:B112"/>
    <mergeCell ref="C110:C112"/>
    <mergeCell ref="K110:K112"/>
    <mergeCell ref="L110:L112"/>
    <mergeCell ref="M110:M112"/>
    <mergeCell ref="N110:N112"/>
    <mergeCell ref="O110:O112"/>
    <mergeCell ref="P110:P112"/>
    <mergeCell ref="A113:A118"/>
    <mergeCell ref="B113:B118"/>
    <mergeCell ref="C113:C118"/>
    <mergeCell ref="D113:D116"/>
    <mergeCell ref="E113:E116"/>
    <mergeCell ref="F113:F116"/>
    <mergeCell ref="G113:G116"/>
    <mergeCell ref="H113:H116"/>
    <mergeCell ref="I113:I116"/>
    <mergeCell ref="J113:J116"/>
    <mergeCell ref="K113:K118"/>
    <mergeCell ref="L113:L118"/>
    <mergeCell ref="M113:M118"/>
    <mergeCell ref="N113:N118"/>
    <mergeCell ref="O113:O118"/>
    <mergeCell ref="P113:P118"/>
    <mergeCell ref="Q113:Q118"/>
    <mergeCell ref="A119:A121"/>
    <mergeCell ref="B119:B121"/>
    <mergeCell ref="C119:C121"/>
    <mergeCell ref="K119:K121"/>
    <mergeCell ref="L119:L121"/>
    <mergeCell ref="M119:M121"/>
    <mergeCell ref="N119:N121"/>
    <mergeCell ref="O119:O121"/>
    <mergeCell ref="P119:P121"/>
    <mergeCell ref="Q119:Q121"/>
    <mergeCell ref="D120:D121"/>
    <mergeCell ref="E120:E121"/>
    <mergeCell ref="F120:F121"/>
    <mergeCell ref="G120:G121"/>
    <mergeCell ref="H120:H121"/>
    <mergeCell ref="I120:I121"/>
    <mergeCell ref="J120:J121"/>
    <mergeCell ref="A122:A123"/>
    <mergeCell ref="B122:B123"/>
    <mergeCell ref="C122:C123"/>
    <mergeCell ref="K122:K123"/>
    <mergeCell ref="L122:L123"/>
    <mergeCell ref="M122:M123"/>
    <mergeCell ref="N122:N123"/>
    <mergeCell ref="O122:O123"/>
    <mergeCell ref="P122:P123"/>
    <mergeCell ref="Q122:Q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A129:A133"/>
    <mergeCell ref="B129:B133"/>
    <mergeCell ref="C129:C133"/>
    <mergeCell ref="D129:D131"/>
    <mergeCell ref="E129:E131"/>
    <mergeCell ref="F129:F131"/>
    <mergeCell ref="G129:G131"/>
    <mergeCell ref="H129:H131"/>
    <mergeCell ref="I129:I131"/>
    <mergeCell ref="J129:J131"/>
    <mergeCell ref="K129:K133"/>
    <mergeCell ref="L129:L133"/>
    <mergeCell ref="M129:M133"/>
    <mergeCell ref="N129:N133"/>
    <mergeCell ref="O129:O133"/>
    <mergeCell ref="P129:P133"/>
    <mergeCell ref="Q129:Q133"/>
    <mergeCell ref="A134:A136"/>
    <mergeCell ref="B134:B136"/>
    <mergeCell ref="C134:C136"/>
    <mergeCell ref="K134:K136"/>
    <mergeCell ref="L134:L136"/>
    <mergeCell ref="M134:M136"/>
    <mergeCell ref="N134:N136"/>
    <mergeCell ref="O134:O136"/>
    <mergeCell ref="P134:P136"/>
    <mergeCell ref="Q134:Q136"/>
    <mergeCell ref="D135:D136"/>
    <mergeCell ref="E135:E136"/>
    <mergeCell ref="F135:F136"/>
    <mergeCell ref="G135:G136"/>
    <mergeCell ref="H135:H136"/>
    <mergeCell ref="I135:I136"/>
    <mergeCell ref="J135:J136"/>
    <mergeCell ref="A137:A141"/>
    <mergeCell ref="B137:B141"/>
    <mergeCell ref="C137:C141"/>
    <mergeCell ref="K137:K141"/>
    <mergeCell ref="D138:D141"/>
    <mergeCell ref="E138:E141"/>
    <mergeCell ref="F138:F141"/>
    <mergeCell ref="G138:G141"/>
    <mergeCell ref="L137:L141"/>
    <mergeCell ref="M137:M141"/>
    <mergeCell ref="N137:N141"/>
    <mergeCell ref="O137:O141"/>
    <mergeCell ref="P137:P141"/>
    <mergeCell ref="Q137:Q141"/>
    <mergeCell ref="H138:H141"/>
    <mergeCell ref="I138:I141"/>
    <mergeCell ref="J138:J141"/>
    <mergeCell ref="A142:A145"/>
    <mergeCell ref="B142:B145"/>
    <mergeCell ref="C142:C145"/>
    <mergeCell ref="E142:E143"/>
    <mergeCell ref="F142:F143"/>
    <mergeCell ref="G142:G143"/>
    <mergeCell ref="H142:H143"/>
    <mergeCell ref="I142:I143"/>
    <mergeCell ref="J142:J143"/>
    <mergeCell ref="K142:K145"/>
    <mergeCell ref="L142:L145"/>
    <mergeCell ref="M142:M145"/>
    <mergeCell ref="N142:N145"/>
    <mergeCell ref="O142:O145"/>
    <mergeCell ref="P142:P145"/>
    <mergeCell ref="Q142:Q145"/>
    <mergeCell ref="B146:Q146"/>
    <mergeCell ref="C147:C150"/>
    <mergeCell ref="K147:K150"/>
    <mergeCell ref="Q147:Q150"/>
    <mergeCell ref="H148:H149"/>
    <mergeCell ref="I148:I149"/>
    <mergeCell ref="J148:J149"/>
    <mergeCell ref="A148:A149"/>
    <mergeCell ref="B148:B149"/>
    <mergeCell ref="D148:D149"/>
    <mergeCell ref="E148:E149"/>
    <mergeCell ref="F148:F149"/>
    <mergeCell ref="G148:G149"/>
    <mergeCell ref="L148:L149"/>
    <mergeCell ref="M148:M149"/>
    <mergeCell ref="N148:N149"/>
    <mergeCell ref="O148:O149"/>
    <mergeCell ref="P148:P149"/>
    <mergeCell ref="A151:A153"/>
    <mergeCell ref="B151:B153"/>
    <mergeCell ref="C151:C153"/>
    <mergeCell ref="K151:K153"/>
    <mergeCell ref="L151:L153"/>
    <mergeCell ref="M151:M153"/>
    <mergeCell ref="N151:N153"/>
    <mergeCell ref="O151:O153"/>
    <mergeCell ref="P151:P153"/>
    <mergeCell ref="Q151:Q153"/>
    <mergeCell ref="A154:A156"/>
    <mergeCell ref="B154:B156"/>
    <mergeCell ref="C154:C156"/>
    <mergeCell ref="D154:D155"/>
    <mergeCell ref="E154:E155"/>
    <mergeCell ref="F154:F155"/>
    <mergeCell ref="G154:G155"/>
    <mergeCell ref="H154:H155"/>
    <mergeCell ref="I154:I155"/>
    <mergeCell ref="J154:J155"/>
    <mergeCell ref="K154:K156"/>
    <mergeCell ref="L154:L156"/>
    <mergeCell ref="M154:M156"/>
    <mergeCell ref="N154:N156"/>
    <mergeCell ref="O154:O156"/>
    <mergeCell ref="P154:P156"/>
    <mergeCell ref="Q154:Q156"/>
    <mergeCell ref="A157:A159"/>
    <mergeCell ref="B157:B159"/>
    <mergeCell ref="C157:C159"/>
    <mergeCell ref="K157:K159"/>
    <mergeCell ref="L157:L159"/>
    <mergeCell ref="M157:M159"/>
    <mergeCell ref="J158:J159"/>
    <mergeCell ref="N157:N159"/>
    <mergeCell ref="O157:O159"/>
    <mergeCell ref="P157:P159"/>
    <mergeCell ref="Q157:Q159"/>
    <mergeCell ref="D158:D159"/>
    <mergeCell ref="E158:E159"/>
    <mergeCell ref="F158:F159"/>
    <mergeCell ref="G158:G159"/>
    <mergeCell ref="H158:H159"/>
    <mergeCell ref="I158:I159"/>
    <mergeCell ref="A160:A162"/>
    <mergeCell ref="B160:B162"/>
    <mergeCell ref="C160:C162"/>
    <mergeCell ref="K160:K162"/>
    <mergeCell ref="L160:L162"/>
    <mergeCell ref="M160:M162"/>
    <mergeCell ref="J161:J162"/>
    <mergeCell ref="N160:N162"/>
    <mergeCell ref="O160:O162"/>
    <mergeCell ref="P160:P162"/>
    <mergeCell ref="Q160:Q162"/>
    <mergeCell ref="D161:D162"/>
    <mergeCell ref="E161:E162"/>
    <mergeCell ref="F161:F162"/>
    <mergeCell ref="G161:G162"/>
    <mergeCell ref="H161:H162"/>
    <mergeCell ref="I161:I162"/>
    <mergeCell ref="A163:A165"/>
    <mergeCell ref="B163:B165"/>
    <mergeCell ref="C163:C165"/>
    <mergeCell ref="K163:K164"/>
    <mergeCell ref="L163:L164"/>
    <mergeCell ref="M163:M164"/>
    <mergeCell ref="J164:J165"/>
    <mergeCell ref="N163:N164"/>
    <mergeCell ref="O163:O164"/>
    <mergeCell ref="P163:P164"/>
    <mergeCell ref="Q163:Q165"/>
    <mergeCell ref="D164:D165"/>
    <mergeCell ref="E164:E165"/>
    <mergeCell ref="F164:F165"/>
    <mergeCell ref="G164:G165"/>
    <mergeCell ref="H164:H165"/>
    <mergeCell ref="I164:I165"/>
    <mergeCell ref="A166:A169"/>
    <mergeCell ref="B166:B169"/>
    <mergeCell ref="C166:C169"/>
    <mergeCell ref="E166:E167"/>
    <mergeCell ref="F166:F167"/>
    <mergeCell ref="G166:G167"/>
    <mergeCell ref="H166:H167"/>
    <mergeCell ref="I166:I167"/>
    <mergeCell ref="J166:J167"/>
    <mergeCell ref="K166:K169"/>
    <mergeCell ref="L166:L169"/>
    <mergeCell ref="M166:M169"/>
    <mergeCell ref="A170:A173"/>
    <mergeCell ref="B170:B173"/>
    <mergeCell ref="C170:C173"/>
    <mergeCell ref="D170:D171"/>
    <mergeCell ref="E170:E171"/>
    <mergeCell ref="F170:F171"/>
    <mergeCell ref="G170:G171"/>
    <mergeCell ref="H170:H171"/>
    <mergeCell ref="I170:I171"/>
    <mergeCell ref="J170:J171"/>
    <mergeCell ref="K170:K173"/>
    <mergeCell ref="L170:L173"/>
    <mergeCell ref="M170:M173"/>
    <mergeCell ref="N170:N173"/>
    <mergeCell ref="O170:O173"/>
    <mergeCell ref="P170:P173"/>
    <mergeCell ref="Q170:Q173"/>
    <mergeCell ref="L1:Q1"/>
    <mergeCell ref="N166:N169"/>
    <mergeCell ref="O166:O169"/>
    <mergeCell ref="P166:P169"/>
    <mergeCell ref="Q166:Q169"/>
  </mergeCells>
  <printOptions horizontalCentered="1"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7"/>
  <sheetViews>
    <sheetView zoomScale="85" zoomScaleNormal="85" zoomScaleSheetLayoutView="100" zoomScalePageLayoutView="0" workbookViewId="0" topLeftCell="A10">
      <selection activeCell="F12" activeCellId="2" sqref="F19 F15 F12"/>
    </sheetView>
  </sheetViews>
  <sheetFormatPr defaultColWidth="9.140625" defaultRowHeight="15"/>
  <cols>
    <col min="1" max="1" width="3.421875" style="67" customWidth="1"/>
    <col min="2" max="2" width="15.8515625" style="29" customWidth="1"/>
    <col min="3" max="3" width="9.57421875" style="29" customWidth="1"/>
    <col min="4" max="4" width="17.8515625" style="29" customWidth="1"/>
    <col min="5" max="5" width="13.57421875" style="29" customWidth="1"/>
    <col min="6" max="6" width="15.140625" style="29" customWidth="1"/>
    <col min="7" max="9" width="16.421875" style="29" customWidth="1"/>
    <col min="10" max="16384" width="9.140625" style="29" customWidth="1"/>
  </cols>
  <sheetData>
    <row r="1" spans="1:12" ht="29.25" customHeight="1">
      <c r="A1" s="707" t="s">
        <v>203</v>
      </c>
      <c r="B1" s="689"/>
      <c r="C1" s="689"/>
      <c r="D1" s="689"/>
      <c r="E1" s="689"/>
      <c r="F1" s="689"/>
      <c r="G1" s="689"/>
      <c r="H1" s="689"/>
      <c r="I1" s="689"/>
      <c r="J1" s="54"/>
      <c r="K1" s="54"/>
      <c r="L1" s="54"/>
    </row>
    <row r="2" spans="1:12" ht="21.75" customHeight="1">
      <c r="A2" s="708" t="s">
        <v>303</v>
      </c>
      <c r="B2" s="709"/>
      <c r="C2" s="709"/>
      <c r="D2" s="709"/>
      <c r="E2" s="709"/>
      <c r="F2" s="709"/>
      <c r="G2" s="709"/>
      <c r="H2" s="709"/>
      <c r="I2" s="709"/>
      <c r="J2" s="54"/>
      <c r="K2" s="54"/>
      <c r="L2" s="54"/>
    </row>
    <row r="3" spans="1:12" ht="26.25" customHeight="1">
      <c r="A3" s="710"/>
      <c r="B3" s="711"/>
      <c r="C3" s="711"/>
      <c r="D3" s="711"/>
      <c r="E3" s="711"/>
      <c r="F3" s="711"/>
      <c r="G3" s="711"/>
      <c r="H3" s="711"/>
      <c r="I3" s="711"/>
      <c r="J3" s="54"/>
      <c r="K3" s="54"/>
      <c r="L3" s="54"/>
    </row>
    <row r="4" spans="1:12" ht="9.75" customHeight="1">
      <c r="A4" s="717"/>
      <c r="B4" s="717"/>
      <c r="C4" s="717"/>
      <c r="D4" s="695" t="s">
        <v>54</v>
      </c>
      <c r="E4" s="695">
        <v>2014</v>
      </c>
      <c r="F4" s="695">
        <v>2015</v>
      </c>
      <c r="G4" s="695">
        <v>2016</v>
      </c>
      <c r="H4" s="695">
        <v>2017</v>
      </c>
      <c r="I4" s="695">
        <v>2018</v>
      </c>
      <c r="J4" s="54"/>
      <c r="K4" s="54"/>
      <c r="L4" s="54"/>
    </row>
    <row r="5" spans="1:9" ht="6.75" customHeight="1">
      <c r="A5" s="717"/>
      <c r="B5" s="717"/>
      <c r="C5" s="717"/>
      <c r="D5" s="695"/>
      <c r="E5" s="695"/>
      <c r="F5" s="695"/>
      <c r="G5" s="695"/>
      <c r="H5" s="695"/>
      <c r="I5" s="695"/>
    </row>
    <row r="6" spans="1:12" ht="15" customHeight="1">
      <c r="A6" s="721" t="s">
        <v>52</v>
      </c>
      <c r="B6" s="722"/>
      <c r="C6" s="722"/>
      <c r="D6" s="722"/>
      <c r="E6" s="722"/>
      <c r="F6" s="722"/>
      <c r="G6" s="723"/>
      <c r="H6" s="55"/>
      <c r="I6" s="55"/>
      <c r="J6" s="55"/>
      <c r="K6" s="55"/>
      <c r="L6" s="55"/>
    </row>
    <row r="7" spans="1:12" s="11" customFormat="1" ht="15" customHeight="1">
      <c r="A7" s="715">
        <v>2</v>
      </c>
      <c r="B7" s="716" t="s">
        <v>13</v>
      </c>
      <c r="C7" s="34" t="s">
        <v>11</v>
      </c>
      <c r="D7" s="34">
        <f>SUM(E7:I7)</f>
        <v>808286.41</v>
      </c>
      <c r="E7" s="34">
        <f>SUM(E8:E9)+0.01</f>
        <v>173578.21000000002</v>
      </c>
      <c r="F7" s="34">
        <f>SUM(F8:F9)</f>
        <v>164366.8</v>
      </c>
      <c r="G7" s="34">
        <f>SUM(G8:G9)</f>
        <v>146738.2</v>
      </c>
      <c r="H7" s="34">
        <f>SUM(H8:H9)</f>
        <v>161801.6</v>
      </c>
      <c r="I7" s="34">
        <f>SUM(I8:I9)</f>
        <v>161801.6</v>
      </c>
      <c r="J7" s="56"/>
      <c r="K7" s="56"/>
      <c r="L7" s="56"/>
    </row>
    <row r="8" spans="1:12" s="11" customFormat="1" ht="15" customHeight="1">
      <c r="A8" s="715"/>
      <c r="B8" s="716"/>
      <c r="C8" s="60" t="s">
        <v>5</v>
      </c>
      <c r="D8" s="34">
        <f>SUM(E8:I8)</f>
        <v>242910.80000000002</v>
      </c>
      <c r="E8" s="60">
        <f>мм!F171</f>
        <v>64241.399999999994</v>
      </c>
      <c r="F8" s="207">
        <f>мм!G171</f>
        <v>54136.1</v>
      </c>
      <c r="G8" s="207">
        <f>мм!H171</f>
        <v>37511.1</v>
      </c>
      <c r="H8" s="207">
        <f>мм!I171</f>
        <v>43511.1</v>
      </c>
      <c r="I8" s="207">
        <f>мм!J171</f>
        <v>43511.1</v>
      </c>
      <c r="J8" s="56"/>
      <c r="K8" s="56"/>
      <c r="L8" s="56"/>
    </row>
    <row r="9" spans="1:12" s="11" customFormat="1" ht="15" customHeight="1">
      <c r="A9" s="715"/>
      <c r="B9" s="716"/>
      <c r="C9" s="60" t="s">
        <v>6</v>
      </c>
      <c r="D9" s="34">
        <f>SUM(E9:I9)</f>
        <v>565375.6000000001</v>
      </c>
      <c r="E9" s="60">
        <f>мм!F172</f>
        <v>109336.8</v>
      </c>
      <c r="F9" s="207">
        <f>мм!G172</f>
        <v>110230.7</v>
      </c>
      <c r="G9" s="207">
        <f>мм!H172</f>
        <v>109227.10000000002</v>
      </c>
      <c r="H9" s="207">
        <f>мм!I172</f>
        <v>118290.5</v>
      </c>
      <c r="I9" s="207">
        <f>мм!J172</f>
        <v>118290.5</v>
      </c>
      <c r="J9" s="56"/>
      <c r="K9" s="56"/>
      <c r="L9" s="56"/>
    </row>
    <row r="10" spans="1:12" ht="13.5" customHeight="1">
      <c r="A10" s="712" t="s">
        <v>53</v>
      </c>
      <c r="B10" s="713"/>
      <c r="C10" s="713"/>
      <c r="D10" s="713"/>
      <c r="E10" s="713"/>
      <c r="F10" s="713"/>
      <c r="G10" s="714"/>
      <c r="H10" s="55"/>
      <c r="I10" s="55"/>
      <c r="J10" s="55"/>
      <c r="K10" s="55"/>
      <c r="L10" s="55"/>
    </row>
    <row r="11" spans="1:12" s="11" customFormat="1" ht="14.25" customHeight="1">
      <c r="A11" s="715">
        <v>3</v>
      </c>
      <c r="B11" s="716" t="s">
        <v>13</v>
      </c>
      <c r="C11" s="34" t="s">
        <v>11</v>
      </c>
      <c r="D11" s="34">
        <f>SUM(E11:I11)</f>
        <v>720</v>
      </c>
      <c r="E11" s="34">
        <v>150</v>
      </c>
      <c r="F11" s="34">
        <v>120</v>
      </c>
      <c r="G11" s="34">
        <v>150</v>
      </c>
      <c r="H11" s="34">
        <v>150</v>
      </c>
      <c r="I11" s="34">
        <v>150</v>
      </c>
      <c r="J11" s="56"/>
      <c r="K11" s="56"/>
      <c r="L11" s="56"/>
    </row>
    <row r="12" spans="1:12" s="11" customFormat="1" ht="14.25" customHeight="1">
      <c r="A12" s="715"/>
      <c r="B12" s="716"/>
      <c r="C12" s="60" t="s">
        <v>5</v>
      </c>
      <c r="D12" s="34">
        <f>SUM(E12:I12)</f>
        <v>720</v>
      </c>
      <c r="E12" s="60">
        <v>150</v>
      </c>
      <c r="F12" s="60">
        <v>120</v>
      </c>
      <c r="G12" s="60">
        <v>150</v>
      </c>
      <c r="H12" s="68">
        <v>150</v>
      </c>
      <c r="I12" s="68">
        <v>150</v>
      </c>
      <c r="J12" s="56"/>
      <c r="K12" s="56"/>
      <c r="L12" s="56"/>
    </row>
    <row r="13" spans="1:7" ht="12.75" customHeight="1">
      <c r="A13" s="712" t="s">
        <v>55</v>
      </c>
      <c r="B13" s="713"/>
      <c r="C13" s="713"/>
      <c r="D13" s="713"/>
      <c r="E13" s="713"/>
      <c r="F13" s="713"/>
      <c r="G13" s="714"/>
    </row>
    <row r="14" spans="1:12" s="11" customFormat="1" ht="13.5" customHeight="1">
      <c r="A14" s="715">
        <v>4</v>
      </c>
      <c r="B14" s="716" t="s">
        <v>13</v>
      </c>
      <c r="C14" s="34" t="s">
        <v>11</v>
      </c>
      <c r="D14" s="34">
        <f>SUM(E14:I14)</f>
        <v>4100.3</v>
      </c>
      <c r="E14" s="34">
        <f>SUM(E15:E16)</f>
        <v>1011.5999999999999</v>
      </c>
      <c r="F14" s="34">
        <f>SUM(F15:F16)</f>
        <v>853.4</v>
      </c>
      <c r="G14" s="34">
        <f>SUM(G15:G16)</f>
        <v>736.5</v>
      </c>
      <c r="H14" s="34">
        <f>SUM(H15:H16)</f>
        <v>749.4</v>
      </c>
      <c r="I14" s="34">
        <f>SUM(I15:I16)</f>
        <v>749.4</v>
      </c>
      <c r="J14" s="56"/>
      <c r="K14" s="56"/>
      <c r="L14" s="56"/>
    </row>
    <row r="15" spans="1:12" s="11" customFormat="1" ht="13.5" customHeight="1">
      <c r="A15" s="715"/>
      <c r="B15" s="716"/>
      <c r="C15" s="60" t="s">
        <v>5</v>
      </c>
      <c r="D15" s="60">
        <f>SUM(E15:I15)</f>
        <v>2742.3999999999996</v>
      </c>
      <c r="E15" s="60">
        <f>' отдых'!F56</f>
        <v>762.9999999999999</v>
      </c>
      <c r="F15" s="207">
        <f>' отдых'!G56</f>
        <v>604.8</v>
      </c>
      <c r="G15" s="207">
        <f>' отдых'!H56</f>
        <v>458.2</v>
      </c>
      <c r="H15" s="207">
        <f>' отдых'!I56</f>
        <v>458.2</v>
      </c>
      <c r="I15" s="207">
        <f>' отдых'!J56</f>
        <v>458.2</v>
      </c>
      <c r="J15" s="56"/>
      <c r="K15" s="56"/>
      <c r="L15" s="56"/>
    </row>
    <row r="16" spans="1:12" s="11" customFormat="1" ht="13.5" customHeight="1">
      <c r="A16" s="715"/>
      <c r="B16" s="716"/>
      <c r="C16" s="60" t="s">
        <v>6</v>
      </c>
      <c r="D16" s="60">
        <f>SUM(E16:I16)</f>
        <v>1357.9</v>
      </c>
      <c r="E16" s="60">
        <f>' отдых'!F57</f>
        <v>248.6</v>
      </c>
      <c r="F16" s="207">
        <f>' отдых'!G57</f>
        <v>248.6</v>
      </c>
      <c r="G16" s="207">
        <f>' отдых'!H57</f>
        <v>278.3</v>
      </c>
      <c r="H16" s="207">
        <f>' отдых'!I57</f>
        <v>291.2</v>
      </c>
      <c r="I16" s="207">
        <f>' отдых'!J57</f>
        <v>291.2</v>
      </c>
      <c r="J16" s="56"/>
      <c r="K16" s="56"/>
      <c r="L16" s="56"/>
    </row>
    <row r="17" spans="1:7" ht="13.5" customHeight="1">
      <c r="A17" s="712" t="s">
        <v>56</v>
      </c>
      <c r="B17" s="713"/>
      <c r="C17" s="713"/>
      <c r="D17" s="713"/>
      <c r="E17" s="713"/>
      <c r="F17" s="713"/>
      <c r="G17" s="714"/>
    </row>
    <row r="18" spans="1:12" s="11" customFormat="1" ht="13.5" customHeight="1">
      <c r="A18" s="715">
        <v>5</v>
      </c>
      <c r="B18" s="716" t="s">
        <v>13</v>
      </c>
      <c r="C18" s="34" t="s">
        <v>11</v>
      </c>
      <c r="D18" s="34">
        <f>SUM(E18:I18)</f>
        <v>343</v>
      </c>
      <c r="E18" s="34">
        <f>SUM(E19:E19)</f>
        <v>75</v>
      </c>
      <c r="F18" s="34">
        <f>SUM(F19:F19)</f>
        <v>67</v>
      </c>
      <c r="G18" s="34">
        <v>67</v>
      </c>
      <c r="H18" s="34">
        <v>67</v>
      </c>
      <c r="I18" s="34">
        <v>67</v>
      </c>
      <c r="J18" s="56"/>
      <c r="K18" s="56"/>
      <c r="L18" s="56"/>
    </row>
    <row r="19" spans="1:12" s="11" customFormat="1" ht="13.5" customHeight="1">
      <c r="A19" s="715"/>
      <c r="B19" s="716"/>
      <c r="C19" s="60" t="s">
        <v>5</v>
      </c>
      <c r="D19" s="60">
        <f>SUM(E19:I19)</f>
        <v>343</v>
      </c>
      <c r="E19" s="60">
        <v>75</v>
      </c>
      <c r="F19" s="60">
        <v>67</v>
      </c>
      <c r="G19" s="60">
        <v>67</v>
      </c>
      <c r="H19" s="68">
        <v>67</v>
      </c>
      <c r="I19" s="68">
        <v>67</v>
      </c>
      <c r="J19" s="56"/>
      <c r="K19" s="56"/>
      <c r="L19" s="56"/>
    </row>
    <row r="20" spans="1:12" s="11" customFormat="1" ht="10.5" customHeight="1">
      <c r="A20" s="724"/>
      <c r="B20" s="725"/>
      <c r="C20" s="725"/>
      <c r="D20" s="725"/>
      <c r="E20" s="725"/>
      <c r="F20" s="725"/>
      <c r="G20" s="726"/>
      <c r="H20" s="56"/>
      <c r="I20" s="56"/>
      <c r="J20" s="56"/>
      <c r="K20" s="56"/>
      <c r="L20" s="56"/>
    </row>
    <row r="21" spans="1:9" s="62" customFormat="1" ht="27.75" customHeight="1">
      <c r="A21" s="720" t="s">
        <v>150</v>
      </c>
      <c r="B21" s="720"/>
      <c r="C21" s="34" t="s">
        <v>11</v>
      </c>
      <c r="D21" s="61">
        <f>SUM(E21:I21)</f>
        <v>813449.71</v>
      </c>
      <c r="E21" s="61">
        <f aca="true" t="shared" si="0" ref="E21:I22">SUM(E7,E11,E14,E18)</f>
        <v>174814.81000000003</v>
      </c>
      <c r="F21" s="61">
        <f t="shared" si="0"/>
        <v>165407.19999999998</v>
      </c>
      <c r="G21" s="61">
        <f t="shared" si="0"/>
        <v>147691.7</v>
      </c>
      <c r="H21" s="61">
        <f t="shared" si="0"/>
        <v>162768</v>
      </c>
      <c r="I21" s="61">
        <f t="shared" si="0"/>
        <v>162768</v>
      </c>
    </row>
    <row r="22" spans="1:9" s="62" customFormat="1" ht="21.75" customHeight="1">
      <c r="A22" s="720"/>
      <c r="B22" s="720"/>
      <c r="C22" s="60" t="s">
        <v>5</v>
      </c>
      <c r="D22" s="63">
        <f>SUM(E22:I22)</f>
        <v>246716.19999999995</v>
      </c>
      <c r="E22" s="63">
        <f t="shared" si="0"/>
        <v>65229.399999999994</v>
      </c>
      <c r="F22" s="63">
        <f>SUM(F8,F12,F15,F19)</f>
        <v>54927.9</v>
      </c>
      <c r="G22" s="63">
        <f t="shared" si="0"/>
        <v>38186.299999999996</v>
      </c>
      <c r="H22" s="63">
        <f t="shared" si="0"/>
        <v>44186.299999999996</v>
      </c>
      <c r="I22" s="63">
        <f t="shared" si="0"/>
        <v>44186.299999999996</v>
      </c>
    </row>
    <row r="23" spans="1:9" s="62" customFormat="1" ht="22.5" customHeight="1">
      <c r="A23" s="720"/>
      <c r="B23" s="720"/>
      <c r="C23" s="60" t="s">
        <v>6</v>
      </c>
      <c r="D23" s="63">
        <f>SUM(E23:I23)</f>
        <v>566733.5</v>
      </c>
      <c r="E23" s="63">
        <f>SUM(E9,E16)</f>
        <v>109585.40000000001</v>
      </c>
      <c r="F23" s="63">
        <f>SUM(F9,F16)</f>
        <v>110479.3</v>
      </c>
      <c r="G23" s="63">
        <f>SUM(G9,G16)</f>
        <v>109505.40000000002</v>
      </c>
      <c r="H23" s="63">
        <f>SUM(H9,H16)</f>
        <v>118581.7</v>
      </c>
      <c r="I23" s="63">
        <f>SUM(I9,I16)</f>
        <v>118581.7</v>
      </c>
    </row>
    <row r="24" spans="1:7" ht="12.75" customHeight="1">
      <c r="A24" s="712" t="s">
        <v>151</v>
      </c>
      <c r="B24" s="713"/>
      <c r="C24" s="713"/>
      <c r="D24" s="713"/>
      <c r="E24" s="713"/>
      <c r="F24" s="713"/>
      <c r="G24" s="714"/>
    </row>
    <row r="25" spans="1:12" s="11" customFormat="1" ht="13.5" customHeight="1">
      <c r="A25" s="715">
        <v>6</v>
      </c>
      <c r="B25" s="716" t="s">
        <v>13</v>
      </c>
      <c r="C25" s="34" t="s">
        <v>11</v>
      </c>
      <c r="D25" s="34">
        <f>SUM(E25:I25)</f>
        <v>32971.3</v>
      </c>
      <c r="E25" s="34">
        <f>SUM(E26:E27)</f>
        <v>8816.5</v>
      </c>
      <c r="F25" s="34">
        <f>SUM(F26:F27)</f>
        <v>6482.400000000001</v>
      </c>
      <c r="G25" s="34">
        <f>SUM(G26:G27)</f>
        <v>5890.8</v>
      </c>
      <c r="H25" s="34">
        <f>SUM(H26:H27)</f>
        <v>5890.8</v>
      </c>
      <c r="I25" s="34">
        <f>SUM(I26:I27)</f>
        <v>5890.8</v>
      </c>
      <c r="J25" s="56"/>
      <c r="K25" s="56"/>
      <c r="L25" s="56"/>
    </row>
    <row r="26" spans="1:12" s="11" customFormat="1" ht="13.5" customHeight="1">
      <c r="A26" s="715"/>
      <c r="B26" s="716"/>
      <c r="C26" s="60" t="s">
        <v>5</v>
      </c>
      <c r="D26" s="60">
        <f>SUM(E26:I26)</f>
        <v>28506.6</v>
      </c>
      <c r="E26" s="60">
        <v>7950.4</v>
      </c>
      <c r="F26" s="60">
        <v>5592.8</v>
      </c>
      <c r="G26" s="109">
        <v>4987.8</v>
      </c>
      <c r="H26" s="109">
        <v>4987.8</v>
      </c>
      <c r="I26" s="109">
        <v>4987.8</v>
      </c>
      <c r="J26" s="56"/>
      <c r="K26" s="56"/>
      <c r="L26" s="56"/>
    </row>
    <row r="27" spans="1:12" s="11" customFormat="1" ht="13.5" customHeight="1">
      <c r="A27" s="715"/>
      <c r="B27" s="716"/>
      <c r="C27" s="60" t="s">
        <v>6</v>
      </c>
      <c r="D27" s="60">
        <f>SUM(E27:I27)</f>
        <v>4464.7</v>
      </c>
      <c r="E27" s="60">
        <v>866.1</v>
      </c>
      <c r="F27" s="60">
        <v>889.6</v>
      </c>
      <c r="G27" s="109">
        <v>903</v>
      </c>
      <c r="H27" s="109">
        <v>903</v>
      </c>
      <c r="I27" s="109">
        <v>903</v>
      </c>
      <c r="J27" s="56"/>
      <c r="K27" s="56"/>
      <c r="L27" s="56"/>
    </row>
    <row r="28" spans="1:7" ht="13.5" customHeight="1">
      <c r="A28" s="712" t="s">
        <v>152</v>
      </c>
      <c r="B28" s="713"/>
      <c r="C28" s="713"/>
      <c r="D28" s="713"/>
      <c r="E28" s="713"/>
      <c r="F28" s="713"/>
      <c r="G28" s="714"/>
    </row>
    <row r="29" spans="1:12" s="11" customFormat="1" ht="13.5" customHeight="1">
      <c r="A29" s="715">
        <v>7</v>
      </c>
      <c r="B29" s="716" t="s">
        <v>13</v>
      </c>
      <c r="C29" s="34" t="s">
        <v>11</v>
      </c>
      <c r="D29" s="34">
        <f>SUM(E29:I29)</f>
        <v>40984.5</v>
      </c>
      <c r="E29" s="34">
        <f>SUM(E30:E30)</f>
        <v>6856.3</v>
      </c>
      <c r="F29" s="34">
        <f>SUM(F30:F30)</f>
        <v>8640.8</v>
      </c>
      <c r="G29" s="34">
        <f>SUM(G30)</f>
        <v>8295.8</v>
      </c>
      <c r="H29" s="34">
        <f>SUM(H30)</f>
        <v>8595.8</v>
      </c>
      <c r="I29" s="34">
        <f>SUM(I30)</f>
        <v>8595.8</v>
      </c>
      <c r="J29" s="56"/>
      <c r="K29" s="56"/>
      <c r="L29" s="56"/>
    </row>
    <row r="30" spans="1:12" s="11" customFormat="1" ht="13.5" customHeight="1">
      <c r="A30" s="715"/>
      <c r="B30" s="716"/>
      <c r="C30" s="60" t="s">
        <v>5</v>
      </c>
      <c r="D30" s="60">
        <f>SUM(E30:I30)</f>
        <v>40984.5</v>
      </c>
      <c r="E30" s="60">
        <v>6856.3</v>
      </c>
      <c r="F30" s="60">
        <v>8640.8</v>
      </c>
      <c r="G30" s="60">
        <v>8295.8</v>
      </c>
      <c r="H30" s="109">
        <v>8595.8</v>
      </c>
      <c r="I30" s="109">
        <v>8595.8</v>
      </c>
      <c r="J30" s="56"/>
      <c r="K30" s="56"/>
      <c r="L30" s="56"/>
    </row>
    <row r="31" spans="1:7" ht="13.5" customHeight="1">
      <c r="A31" s="712" t="s">
        <v>154</v>
      </c>
      <c r="B31" s="713"/>
      <c r="C31" s="713"/>
      <c r="D31" s="713"/>
      <c r="E31" s="713"/>
      <c r="F31" s="713"/>
      <c r="G31" s="714"/>
    </row>
    <row r="32" spans="1:12" s="11" customFormat="1" ht="13.5" customHeight="1">
      <c r="A32" s="715">
        <v>8</v>
      </c>
      <c r="B32" s="716" t="s">
        <v>13</v>
      </c>
      <c r="C32" s="34" t="s">
        <v>11</v>
      </c>
      <c r="D32" s="34">
        <f>SUM(E32:I32)</f>
        <v>65220.299999999996</v>
      </c>
      <c r="E32" s="34">
        <f>SUM(E33:E33)</f>
        <v>0</v>
      </c>
      <c r="F32" s="34">
        <f>SUM(F33:F33)</f>
        <v>15957</v>
      </c>
      <c r="G32" s="34">
        <f>SUM(G33)</f>
        <v>16421.1</v>
      </c>
      <c r="H32" s="34">
        <f>SUM(H33)</f>
        <v>16421.1</v>
      </c>
      <c r="I32" s="34">
        <f>SUM(I33)</f>
        <v>16421.1</v>
      </c>
      <c r="J32" s="56"/>
      <c r="K32" s="56"/>
      <c r="L32" s="56"/>
    </row>
    <row r="33" spans="1:12" s="11" customFormat="1" ht="13.5" customHeight="1">
      <c r="A33" s="715"/>
      <c r="B33" s="716"/>
      <c r="C33" s="68" t="s">
        <v>5</v>
      </c>
      <c r="D33" s="68">
        <f>SUM(E33:I33)</f>
        <v>65220.299999999996</v>
      </c>
      <c r="E33" s="68">
        <v>0</v>
      </c>
      <c r="F33" s="68">
        <v>15957</v>
      </c>
      <c r="G33" s="68">
        <v>16421.1</v>
      </c>
      <c r="H33" s="68">
        <v>16421.1</v>
      </c>
      <c r="I33" s="68">
        <v>16421.1</v>
      </c>
      <c r="J33" s="56"/>
      <c r="K33" s="56"/>
      <c r="L33" s="56"/>
    </row>
    <row r="34" spans="2:9" ht="7.5" customHeight="1">
      <c r="B34" s="64"/>
      <c r="C34" s="64"/>
      <c r="D34" s="64"/>
      <c r="E34" s="64"/>
      <c r="F34" s="64"/>
      <c r="G34" s="64"/>
      <c r="H34" s="64"/>
      <c r="I34" s="64"/>
    </row>
    <row r="35" spans="1:9" ht="21" customHeight="1">
      <c r="A35" s="718" t="s">
        <v>134</v>
      </c>
      <c r="B35" s="719"/>
      <c r="C35" s="65" t="s">
        <v>11</v>
      </c>
      <c r="D35" s="57">
        <f>SUM(E35:I35)</f>
        <v>952625.8</v>
      </c>
      <c r="E35" s="57">
        <f>SUM(E36:E37)</f>
        <v>190487.6</v>
      </c>
      <c r="F35" s="57">
        <f>SUM(F36:F37)</f>
        <v>196487.40000000002</v>
      </c>
      <c r="G35" s="57">
        <f>SUM(G36:G37)</f>
        <v>178299.40000000002</v>
      </c>
      <c r="H35" s="57">
        <f>SUM(H36:H37)</f>
        <v>193675.7</v>
      </c>
      <c r="I35" s="57">
        <f>SUM(I36:I37)</f>
        <v>193675.7</v>
      </c>
    </row>
    <row r="36" spans="1:9" ht="21" customHeight="1">
      <c r="A36" s="718"/>
      <c r="B36" s="719"/>
      <c r="C36" s="66" t="s">
        <v>5</v>
      </c>
      <c r="D36" s="57">
        <f>SUM(E36:I36)</f>
        <v>381427.6</v>
      </c>
      <c r="E36" s="58">
        <f>E8+E12+E15+E19+E26+E30+E33</f>
        <v>80036.09999999999</v>
      </c>
      <c r="F36" s="58">
        <f>F22+F26+F30+F33</f>
        <v>85118.5</v>
      </c>
      <c r="G36" s="58">
        <f>G22+G26+G30+G33</f>
        <v>67891</v>
      </c>
      <c r="H36" s="58">
        <f>H22+H26+H30+H33</f>
        <v>74191</v>
      </c>
      <c r="I36" s="58">
        <f>I22+I26+I30+I33</f>
        <v>74191</v>
      </c>
    </row>
    <row r="37" spans="1:9" ht="21" customHeight="1">
      <c r="A37" s="718"/>
      <c r="B37" s="719"/>
      <c r="C37" s="66" t="s">
        <v>6</v>
      </c>
      <c r="D37" s="57">
        <f>SUM(E37:I37)</f>
        <v>571198.2000000001</v>
      </c>
      <c r="E37" s="58">
        <f>E9+E16+E27</f>
        <v>110451.50000000001</v>
      </c>
      <c r="F37" s="58">
        <f>F23+F27</f>
        <v>111368.90000000001</v>
      </c>
      <c r="G37" s="58">
        <f>G23+G27</f>
        <v>110408.40000000002</v>
      </c>
      <c r="H37" s="58">
        <f>H23+H27</f>
        <v>119484.7</v>
      </c>
      <c r="I37" s="58">
        <f>I23+I27</f>
        <v>119484.7</v>
      </c>
    </row>
  </sheetData>
  <sheetProtection/>
  <mergeCells count="33">
    <mergeCell ref="A35:B37"/>
    <mergeCell ref="A21:B23"/>
    <mergeCell ref="A14:A16"/>
    <mergeCell ref="A18:A19"/>
    <mergeCell ref="E4:E5"/>
    <mergeCell ref="B7:B9"/>
    <mergeCell ref="A6:G6"/>
    <mergeCell ref="A13:G13"/>
    <mergeCell ref="B14:B16"/>
    <mergeCell ref="A20:G20"/>
    <mergeCell ref="A4:C5"/>
    <mergeCell ref="D4:D5"/>
    <mergeCell ref="F4:F5"/>
    <mergeCell ref="G4:G5"/>
    <mergeCell ref="A25:A27"/>
    <mergeCell ref="B25:B27"/>
    <mergeCell ref="A28:G28"/>
    <mergeCell ref="A7:A9"/>
    <mergeCell ref="A17:G17"/>
    <mergeCell ref="A11:A12"/>
    <mergeCell ref="B11:B12"/>
    <mergeCell ref="A10:G10"/>
    <mergeCell ref="A24:G24"/>
    <mergeCell ref="H4:H5"/>
    <mergeCell ref="I4:I5"/>
    <mergeCell ref="A1:I1"/>
    <mergeCell ref="A2:I3"/>
    <mergeCell ref="A31:G31"/>
    <mergeCell ref="A32:A33"/>
    <mergeCell ref="B32:B33"/>
    <mergeCell ref="A29:A30"/>
    <mergeCell ref="B29:B30"/>
    <mergeCell ref="B18:B19"/>
  </mergeCells>
  <printOptions/>
  <pageMargins left="0.7" right="0.7" top="0.75" bottom="0.75" header="0.3" footer="0.3"/>
  <pageSetup fitToWidth="0" fitToHeight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71"/>
  <sheetViews>
    <sheetView tabSelected="1" zoomScaleSheetLayoutView="100" workbookViewId="0" topLeftCell="A1">
      <pane ySplit="8" topLeftCell="A9" activePane="bottomLeft" state="frozen"/>
      <selection pane="topLeft" activeCell="A1" sqref="A1"/>
      <selection pane="bottomLeft" activeCell="F71" sqref="F71"/>
    </sheetView>
  </sheetViews>
  <sheetFormatPr defaultColWidth="19.57421875" defaultRowHeight="18.75" customHeight="1"/>
  <cols>
    <col min="1" max="1" width="4.28125" style="1" customWidth="1"/>
    <col min="2" max="2" width="28.28125" style="1" customWidth="1"/>
    <col min="3" max="3" width="5.28125" style="51" customWidth="1"/>
    <col min="4" max="4" width="6.28125" style="42" customWidth="1"/>
    <col min="5" max="5" width="9.421875" style="42" customWidth="1"/>
    <col min="6" max="11" width="8.421875" style="42" customWidth="1"/>
    <col min="12" max="12" width="30.00390625" style="53" customWidth="1"/>
    <col min="13" max="18" width="4.8515625" style="42" customWidth="1"/>
    <col min="19" max="19" width="17.140625" style="3" customWidth="1"/>
    <col min="20" max="21" width="19.57421875" style="11" customWidth="1"/>
    <col min="22" max="16384" width="19.57421875" style="1" customWidth="1"/>
  </cols>
  <sheetData>
    <row r="1" spans="1:19" ht="26.25" customHeight="1">
      <c r="A1" s="9"/>
      <c r="B1" s="9"/>
      <c r="C1" s="50"/>
      <c r="D1" s="35"/>
      <c r="E1" s="35"/>
      <c r="F1" s="35"/>
      <c r="G1" s="786" t="s">
        <v>519</v>
      </c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</row>
    <row r="2" spans="1:19" ht="23.25" customHeight="1">
      <c r="A2" s="9"/>
      <c r="B2" s="9"/>
      <c r="C2" s="50"/>
      <c r="D2" s="35"/>
      <c r="E2" s="35"/>
      <c r="F2" s="35"/>
      <c r="G2" s="596"/>
      <c r="H2" s="596"/>
      <c r="I2" s="596"/>
      <c r="J2" s="596"/>
      <c r="K2" s="596"/>
      <c r="L2" s="789" t="s">
        <v>478</v>
      </c>
      <c r="M2" s="789"/>
      <c r="N2" s="789"/>
      <c r="O2" s="789"/>
      <c r="P2" s="789"/>
      <c r="Q2" s="789"/>
      <c r="R2" s="789"/>
      <c r="S2" s="789"/>
    </row>
    <row r="3" spans="1:19" ht="13.5" customHeight="1">
      <c r="A3" s="9"/>
      <c r="B3" s="9"/>
      <c r="C3" s="50"/>
      <c r="D3" s="35"/>
      <c r="E3" s="35"/>
      <c r="F3" s="35"/>
      <c r="G3" s="596"/>
      <c r="H3" s="596"/>
      <c r="I3" s="781" t="s">
        <v>481</v>
      </c>
      <c r="J3" s="781"/>
      <c r="K3" s="781"/>
      <c r="L3" s="781"/>
      <c r="M3" s="781"/>
      <c r="N3" s="781"/>
      <c r="O3" s="781"/>
      <c r="P3" s="781"/>
      <c r="Q3" s="781"/>
      <c r="R3" s="781"/>
      <c r="S3" s="781"/>
    </row>
    <row r="4" spans="1:19" ht="28.5" customHeight="1">
      <c r="A4" s="787" t="s">
        <v>418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</row>
    <row r="5" spans="1:19" ht="10.5" customHeight="1">
      <c r="A5" s="9"/>
      <c r="B5" s="9"/>
      <c r="C5" s="50"/>
      <c r="D5" s="35"/>
      <c r="E5" s="35"/>
      <c r="F5" s="35"/>
      <c r="G5" s="35"/>
      <c r="H5" s="35"/>
      <c r="I5" s="35"/>
      <c r="J5" s="35"/>
      <c r="K5" s="35"/>
      <c r="L5" s="52"/>
      <c r="M5" s="35"/>
      <c r="N5" s="35"/>
      <c r="O5" s="35"/>
      <c r="P5" s="35"/>
      <c r="Q5" s="35"/>
      <c r="R5" s="35"/>
      <c r="S5" s="79"/>
    </row>
    <row r="6" spans="1:21" s="15" customFormat="1" ht="39.75" customHeight="1">
      <c r="A6" s="788" t="s">
        <v>16</v>
      </c>
      <c r="B6" s="776" t="s">
        <v>15</v>
      </c>
      <c r="C6" s="788" t="s">
        <v>8</v>
      </c>
      <c r="D6" s="788" t="s">
        <v>9</v>
      </c>
      <c r="E6" s="778" t="s">
        <v>406</v>
      </c>
      <c r="F6" s="779"/>
      <c r="G6" s="779"/>
      <c r="H6" s="779"/>
      <c r="I6" s="779"/>
      <c r="J6" s="779"/>
      <c r="K6" s="780"/>
      <c r="L6" s="778" t="s">
        <v>17</v>
      </c>
      <c r="M6" s="779"/>
      <c r="N6" s="779"/>
      <c r="O6" s="779"/>
      <c r="P6" s="779"/>
      <c r="Q6" s="779"/>
      <c r="R6" s="780"/>
      <c r="S6" s="776" t="s">
        <v>14</v>
      </c>
      <c r="T6" s="797" t="s">
        <v>482</v>
      </c>
      <c r="U6" s="507"/>
    </row>
    <row r="7" spans="1:21" s="15" customFormat="1" ht="27" customHeight="1">
      <c r="A7" s="788"/>
      <c r="B7" s="777"/>
      <c r="C7" s="788"/>
      <c r="D7" s="788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475</v>
      </c>
      <c r="K7" s="75" t="s">
        <v>476</v>
      </c>
      <c r="L7" s="75" t="s">
        <v>433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777"/>
      <c r="T7" s="798"/>
      <c r="U7" s="507"/>
    </row>
    <row r="8" spans="1:21" s="10" customFormat="1" ht="11.25" customHeight="1">
      <c r="A8" s="601">
        <v>1</v>
      </c>
      <c r="B8" s="601">
        <v>2</v>
      </c>
      <c r="C8" s="601">
        <v>3</v>
      </c>
      <c r="D8" s="601">
        <v>4</v>
      </c>
      <c r="E8" s="601">
        <v>5</v>
      </c>
      <c r="F8" s="601">
        <v>6</v>
      </c>
      <c r="G8" s="601">
        <v>7</v>
      </c>
      <c r="H8" s="601">
        <v>8</v>
      </c>
      <c r="I8" s="601">
        <v>9</v>
      </c>
      <c r="J8" s="601">
        <v>10</v>
      </c>
      <c r="K8" s="601">
        <v>11</v>
      </c>
      <c r="L8" s="601">
        <v>12</v>
      </c>
      <c r="M8" s="601">
        <v>13</v>
      </c>
      <c r="N8" s="601">
        <v>14</v>
      </c>
      <c r="O8" s="601">
        <v>15</v>
      </c>
      <c r="P8" s="601">
        <v>16</v>
      </c>
      <c r="Q8" s="601">
        <v>17</v>
      </c>
      <c r="R8" s="601">
        <v>18</v>
      </c>
      <c r="S8" s="601">
        <v>19</v>
      </c>
      <c r="T8" s="508"/>
      <c r="U8" s="508"/>
    </row>
    <row r="9" spans="1:21" ht="11.25" customHeight="1">
      <c r="A9" s="601"/>
      <c r="B9" s="782" t="s">
        <v>468</v>
      </c>
      <c r="C9" s="782"/>
      <c r="D9" s="782"/>
      <c r="E9" s="782"/>
      <c r="F9" s="782"/>
      <c r="G9" s="782"/>
      <c r="H9" s="782"/>
      <c r="I9" s="782"/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508"/>
      <c r="U9" s="508"/>
    </row>
    <row r="10" spans="1:21" ht="10.5" customHeight="1">
      <c r="A10" s="20">
        <v>1</v>
      </c>
      <c r="B10" s="783" t="s">
        <v>455</v>
      </c>
      <c r="C10" s="783"/>
      <c r="D10" s="783"/>
      <c r="E10" s="783"/>
      <c r="F10" s="783"/>
      <c r="G10" s="783"/>
      <c r="H10" s="783"/>
      <c r="I10" s="783"/>
      <c r="J10" s="783"/>
      <c r="K10" s="783"/>
      <c r="L10" s="783"/>
      <c r="M10" s="783"/>
      <c r="N10" s="783"/>
      <c r="O10" s="783"/>
      <c r="P10" s="783"/>
      <c r="Q10" s="783"/>
      <c r="R10" s="783"/>
      <c r="S10" s="783"/>
      <c r="T10" s="508"/>
      <c r="U10" s="508"/>
    </row>
    <row r="11" spans="1:21" ht="24" customHeight="1">
      <c r="A11" s="758" t="s">
        <v>19</v>
      </c>
      <c r="B11" s="737" t="s">
        <v>419</v>
      </c>
      <c r="C11" s="761" t="s">
        <v>480</v>
      </c>
      <c r="D11" s="625" t="s">
        <v>420</v>
      </c>
      <c r="E11" s="462">
        <f aca="true" t="shared" si="0" ref="E11:J11">E12+E13</f>
        <v>990736.749</v>
      </c>
      <c r="F11" s="462">
        <f t="shared" si="0"/>
        <v>159033.11</v>
      </c>
      <c r="G11" s="462">
        <f t="shared" si="0"/>
        <v>149865.82</v>
      </c>
      <c r="H11" s="462">
        <f t="shared" si="0"/>
        <v>157261.94</v>
      </c>
      <c r="I11" s="660">
        <f t="shared" si="0"/>
        <v>173081.66999999998</v>
      </c>
      <c r="J11" s="660">
        <f t="shared" si="0"/>
        <v>168883.549</v>
      </c>
      <c r="K11" s="660">
        <f>K12+K13</f>
        <v>182610.66</v>
      </c>
      <c r="L11" s="799"/>
      <c r="M11" s="800"/>
      <c r="N11" s="800"/>
      <c r="O11" s="800"/>
      <c r="P11" s="800"/>
      <c r="Q11" s="800"/>
      <c r="R11" s="800"/>
      <c r="S11" s="801"/>
      <c r="T11" s="643" t="s">
        <v>483</v>
      </c>
      <c r="U11" s="508"/>
    </row>
    <row r="12" spans="1:21" ht="16.5" customHeight="1">
      <c r="A12" s="784"/>
      <c r="B12" s="738"/>
      <c r="C12" s="774"/>
      <c r="D12" s="595" t="s">
        <v>5</v>
      </c>
      <c r="E12" s="464">
        <f>SUM(F12:K12)</f>
        <v>311121.527</v>
      </c>
      <c r="F12" s="464">
        <f>F15+F22+F25+F28</f>
        <v>50285.61</v>
      </c>
      <c r="G12" s="464">
        <f>G15+G22+G25+G28</f>
        <v>49531.618</v>
      </c>
      <c r="H12" s="464">
        <f>H15+H22+H25+H28+H31</f>
        <v>47144.82000000001</v>
      </c>
      <c r="I12" s="464">
        <f>I15+I22+I25+I28+I31</f>
        <v>56544.42</v>
      </c>
      <c r="J12" s="464">
        <f>J15+J22+J25+J28+J31</f>
        <v>49666.759000000005</v>
      </c>
      <c r="K12" s="464">
        <f>K15+K22+K25+K28+K31</f>
        <v>57948.30000000001</v>
      </c>
      <c r="L12" s="802"/>
      <c r="M12" s="803"/>
      <c r="N12" s="803"/>
      <c r="O12" s="803"/>
      <c r="P12" s="803"/>
      <c r="Q12" s="803"/>
      <c r="R12" s="803"/>
      <c r="S12" s="804"/>
      <c r="T12" s="509"/>
      <c r="U12" s="508"/>
    </row>
    <row r="13" spans="1:21" ht="14.25" customHeight="1">
      <c r="A13" s="784"/>
      <c r="B13" s="738"/>
      <c r="C13" s="774"/>
      <c r="D13" s="594" t="s">
        <v>6</v>
      </c>
      <c r="E13" s="506">
        <f>SUM(F13:K13)</f>
        <v>679615.222</v>
      </c>
      <c r="F13" s="506">
        <f aca="true" t="shared" si="1" ref="F13:K13">F16+F23+F26+F32</f>
        <v>108747.5</v>
      </c>
      <c r="G13" s="506">
        <f t="shared" si="1"/>
        <v>100334.202</v>
      </c>
      <c r="H13" s="506">
        <f t="shared" si="1"/>
        <v>110117.11999999998</v>
      </c>
      <c r="I13" s="659">
        <f t="shared" si="1"/>
        <v>116537.25</v>
      </c>
      <c r="J13" s="659">
        <f t="shared" si="1"/>
        <v>119216.79</v>
      </c>
      <c r="K13" s="659">
        <f t="shared" si="1"/>
        <v>124662.35999999999</v>
      </c>
      <c r="L13" s="805"/>
      <c r="M13" s="806"/>
      <c r="N13" s="806"/>
      <c r="O13" s="806"/>
      <c r="P13" s="806"/>
      <c r="Q13" s="806"/>
      <c r="R13" s="806"/>
      <c r="S13" s="807"/>
      <c r="T13" s="643" t="s">
        <v>483</v>
      </c>
      <c r="U13" s="508"/>
    </row>
    <row r="14" spans="1:21" ht="24.75" customHeight="1">
      <c r="A14" s="785"/>
      <c r="B14" s="738"/>
      <c r="C14" s="774"/>
      <c r="D14" s="541" t="s">
        <v>420</v>
      </c>
      <c r="E14" s="462">
        <f aca="true" t="shared" si="2" ref="E14:K14">E15+E16</f>
        <v>458522.34400000004</v>
      </c>
      <c r="F14" s="462">
        <f t="shared" si="2"/>
        <v>75399.5</v>
      </c>
      <c r="G14" s="463">
        <f t="shared" si="2"/>
        <v>70165.695</v>
      </c>
      <c r="H14" s="462">
        <f t="shared" si="2"/>
        <v>69383.25</v>
      </c>
      <c r="I14" s="462">
        <f t="shared" si="2"/>
        <v>80986.56</v>
      </c>
      <c r="J14" s="462">
        <f t="shared" si="2"/>
        <v>77637.429</v>
      </c>
      <c r="K14" s="462">
        <f t="shared" si="2"/>
        <v>84949.91</v>
      </c>
      <c r="L14" s="542" t="s">
        <v>421</v>
      </c>
      <c r="M14" s="588">
        <v>70</v>
      </c>
      <c r="N14" s="588" t="s">
        <v>522</v>
      </c>
      <c r="O14" s="588" t="s">
        <v>530</v>
      </c>
      <c r="P14" s="588">
        <v>70</v>
      </c>
      <c r="Q14" s="588">
        <v>70</v>
      </c>
      <c r="R14" s="588">
        <v>70</v>
      </c>
      <c r="S14" s="727" t="s">
        <v>453</v>
      </c>
      <c r="T14" s="509"/>
      <c r="U14" s="508"/>
    </row>
    <row r="15" spans="1:21" ht="27" customHeight="1">
      <c r="A15" s="785"/>
      <c r="B15" s="738"/>
      <c r="C15" s="774"/>
      <c r="D15" s="543" t="s">
        <v>5</v>
      </c>
      <c r="E15" s="464">
        <f>SUM(F15:K15)</f>
        <v>155161.442</v>
      </c>
      <c r="F15" s="464">
        <f>300+26384</f>
        <v>26684</v>
      </c>
      <c r="G15" s="465">
        <f>13056.813+11891.99+50+31.58-23.2</f>
        <v>25007.183</v>
      </c>
      <c r="H15" s="464">
        <f>22348.72+224.15+1035+56.28-369.48+57.48+312-20.55-784.16-474.53+474.53+23.83-12.42-11.41</f>
        <v>22859.440000000006</v>
      </c>
      <c r="I15" s="464">
        <f>17060.75+287.89+1600+7735.8+379.7+1200-110</f>
        <v>28154.14</v>
      </c>
      <c r="J15" s="464">
        <f>14060.754+287.892+1035+8045.233+396.86</f>
        <v>23825.739</v>
      </c>
      <c r="K15" s="464">
        <f>17060.75+287.89+2500.58+8367.04+414.68</f>
        <v>28630.940000000002</v>
      </c>
      <c r="L15" s="749" t="s">
        <v>429</v>
      </c>
      <c r="M15" s="742" t="s">
        <v>236</v>
      </c>
      <c r="N15" s="742" t="s">
        <v>236</v>
      </c>
      <c r="O15" s="742" t="s">
        <v>236</v>
      </c>
      <c r="P15" s="742" t="s">
        <v>236</v>
      </c>
      <c r="Q15" s="742" t="s">
        <v>236</v>
      </c>
      <c r="R15" s="742" t="s">
        <v>236</v>
      </c>
      <c r="S15" s="735"/>
      <c r="T15" s="644" t="s">
        <v>486</v>
      </c>
      <c r="U15" s="508"/>
    </row>
    <row r="16" spans="1:21" ht="19.5" customHeight="1">
      <c r="A16" s="641"/>
      <c r="B16" s="544"/>
      <c r="C16" s="774"/>
      <c r="D16" s="543" t="s">
        <v>6</v>
      </c>
      <c r="E16" s="464">
        <f>SUM(F16:K16)</f>
        <v>303360.902</v>
      </c>
      <c r="F16" s="464">
        <f>48759.5-44</f>
        <v>48715.5</v>
      </c>
      <c r="G16" s="465">
        <f>950+600+19560.65+22669.55+13.92+11.39+1392+1139.3-433.2-940.1+204.4-5.161-4.237</f>
        <v>45158.512</v>
      </c>
      <c r="H16" s="464">
        <f>1069.31+42616.1+2058.2+20.58-153.58-0.7-27.9+941.8</f>
        <v>46523.81</v>
      </c>
      <c r="I16" s="657">
        <f>2098.74+2119.5+48592.1+22.08</f>
        <v>52832.42</v>
      </c>
      <c r="J16" s="657">
        <f>756.81+2119.5+50913.3+22.08</f>
        <v>53811.69</v>
      </c>
      <c r="K16" s="657">
        <f>790.79+2119.5+53386.6+22.08</f>
        <v>56318.97</v>
      </c>
      <c r="L16" s="751"/>
      <c r="M16" s="744"/>
      <c r="N16" s="744"/>
      <c r="O16" s="744"/>
      <c r="P16" s="744"/>
      <c r="Q16" s="744"/>
      <c r="R16" s="744"/>
      <c r="S16" s="735"/>
      <c r="T16" s="509"/>
      <c r="U16" s="508"/>
    </row>
    <row r="17" spans="1:21" ht="23.25" customHeight="1" hidden="1">
      <c r="A17" s="641"/>
      <c r="B17" s="545"/>
      <c r="C17" s="774"/>
      <c r="D17" s="546"/>
      <c r="E17" s="464"/>
      <c r="F17" s="465"/>
      <c r="G17" s="464"/>
      <c r="H17" s="465"/>
      <c r="I17" s="464"/>
      <c r="J17" s="464"/>
      <c r="K17" s="584"/>
      <c r="S17" s="735"/>
      <c r="T17" s="509"/>
      <c r="U17" s="508"/>
    </row>
    <row r="18" spans="1:21" ht="37.5" customHeight="1" hidden="1">
      <c r="A18" s="641"/>
      <c r="B18" s="545"/>
      <c r="C18" s="774"/>
      <c r="D18" s="547"/>
      <c r="E18" s="464"/>
      <c r="F18" s="465"/>
      <c r="G18" s="464"/>
      <c r="H18" s="465"/>
      <c r="I18" s="464"/>
      <c r="J18" s="464"/>
      <c r="K18" s="584"/>
      <c r="L18" s="542"/>
      <c r="M18" s="588"/>
      <c r="N18" s="588"/>
      <c r="O18" s="588"/>
      <c r="P18" s="588"/>
      <c r="Q18" s="588"/>
      <c r="R18" s="588"/>
      <c r="S18" s="735"/>
      <c r="T18" s="509"/>
      <c r="U18" s="508"/>
    </row>
    <row r="19" spans="1:21" ht="26.25" customHeight="1" hidden="1">
      <c r="A19" s="641"/>
      <c r="B19" s="545"/>
      <c r="C19" s="774"/>
      <c r="D19" s="546"/>
      <c r="E19" s="464"/>
      <c r="F19" s="465"/>
      <c r="G19" s="464"/>
      <c r="H19" s="465"/>
      <c r="I19" s="464"/>
      <c r="J19" s="464"/>
      <c r="K19" s="584"/>
      <c r="L19" s="542"/>
      <c r="M19" s="588"/>
      <c r="N19" s="588"/>
      <c r="O19" s="588"/>
      <c r="P19" s="588"/>
      <c r="Q19" s="588"/>
      <c r="R19" s="588"/>
      <c r="S19" s="735"/>
      <c r="T19" s="509"/>
      <c r="U19" s="508"/>
    </row>
    <row r="20" spans="1:21" ht="47.25" customHeight="1" hidden="1">
      <c r="A20" s="641"/>
      <c r="B20" s="545"/>
      <c r="C20" s="774"/>
      <c r="D20" s="548"/>
      <c r="E20" s="506"/>
      <c r="F20" s="465"/>
      <c r="G20" s="506"/>
      <c r="H20" s="465"/>
      <c r="I20" s="506"/>
      <c r="J20" s="506"/>
      <c r="K20" s="549"/>
      <c r="S20" s="736"/>
      <c r="T20" s="509"/>
      <c r="U20" s="508"/>
    </row>
    <row r="21" spans="1:21" ht="24.75" customHeight="1">
      <c r="A21" s="641"/>
      <c r="B21" s="586"/>
      <c r="C21" s="774"/>
      <c r="D21" s="625" t="s">
        <v>420</v>
      </c>
      <c r="E21" s="462">
        <f aca="true" t="shared" si="3" ref="E21:K21">E22+E23</f>
        <v>459577.145</v>
      </c>
      <c r="F21" s="462">
        <f t="shared" si="3"/>
        <v>71306.89000000001</v>
      </c>
      <c r="G21" s="462">
        <f t="shared" si="3"/>
        <v>67955.185</v>
      </c>
      <c r="H21" s="462">
        <f t="shared" si="3"/>
        <v>76131.18</v>
      </c>
      <c r="I21" s="462">
        <f t="shared" si="3"/>
        <v>79523.5</v>
      </c>
      <c r="J21" s="462">
        <f t="shared" si="3"/>
        <v>79809.58</v>
      </c>
      <c r="K21" s="462">
        <f t="shared" si="3"/>
        <v>84850.81</v>
      </c>
      <c r="L21" s="749" t="s">
        <v>474</v>
      </c>
      <c r="M21" s="742" t="s">
        <v>454</v>
      </c>
      <c r="N21" s="742" t="s">
        <v>523</v>
      </c>
      <c r="O21" s="742" t="s">
        <v>454</v>
      </c>
      <c r="P21" s="742">
        <v>95</v>
      </c>
      <c r="Q21" s="742">
        <v>95</v>
      </c>
      <c r="R21" s="742">
        <v>95</v>
      </c>
      <c r="S21" s="773" t="s">
        <v>51</v>
      </c>
      <c r="T21" s="509"/>
      <c r="U21" s="508"/>
    </row>
    <row r="22" spans="1:21" ht="21" customHeight="1">
      <c r="A22" s="641"/>
      <c r="B22" s="586"/>
      <c r="C22" s="774"/>
      <c r="D22" s="595" t="s">
        <v>5</v>
      </c>
      <c r="E22" s="464">
        <f>SUM(F22:K22)</f>
        <v>92508.82500000001</v>
      </c>
      <c r="F22" s="464">
        <f>12616.79+100+150</f>
        <v>12866.79</v>
      </c>
      <c r="G22" s="464">
        <f>13175.98+15.79+160.15+587+4.86+282.905</f>
        <v>14226.685000000001</v>
      </c>
      <c r="H22" s="464">
        <f>12650.42+709.26+750+10.53-20-5+164.26-50</f>
        <v>14209.470000000001</v>
      </c>
      <c r="I22" s="464">
        <f>4488.34+500.43+900+10467.54+84.02+235.44+68.41+233.61+2.13+1140.6-160.6-340</f>
        <v>17619.920000000002</v>
      </c>
      <c r="J22" s="464">
        <f>3488.34+500.43+750+10886.24+87.82</f>
        <v>15712.83</v>
      </c>
      <c r="K22" s="464">
        <f>4488.34+500.43+1470.91+11321.69+91.76</f>
        <v>17873.13</v>
      </c>
      <c r="L22" s="750"/>
      <c r="M22" s="743"/>
      <c r="N22" s="743"/>
      <c r="O22" s="743"/>
      <c r="P22" s="743"/>
      <c r="Q22" s="743"/>
      <c r="R22" s="743"/>
      <c r="S22" s="773"/>
      <c r="T22" s="644" t="s">
        <v>485</v>
      </c>
      <c r="U22" s="508"/>
    </row>
    <row r="23" spans="1:21" ht="17.25" customHeight="1">
      <c r="A23" s="641"/>
      <c r="B23" s="586"/>
      <c r="C23" s="774"/>
      <c r="D23" s="594" t="s">
        <v>6</v>
      </c>
      <c r="E23" s="506">
        <f>SUM(F23:K23)</f>
        <v>367068.32</v>
      </c>
      <c r="F23" s="506">
        <f>58120.8+319.3</f>
        <v>58440.100000000006</v>
      </c>
      <c r="G23" s="506">
        <f>300+59583.9-6155.4</f>
        <v>53728.5</v>
      </c>
      <c r="H23" s="506">
        <f>57783.5+200-114.99+4053.2</f>
        <v>61921.71</v>
      </c>
      <c r="I23" s="659">
        <f>661.48+61242.1</f>
        <v>61903.58</v>
      </c>
      <c r="J23" s="659">
        <f>167.45+63929.3</f>
        <v>64096.75</v>
      </c>
      <c r="K23" s="659">
        <f>174.98+66802.7</f>
        <v>66977.68</v>
      </c>
      <c r="L23" s="751"/>
      <c r="M23" s="744"/>
      <c r="N23" s="744"/>
      <c r="O23" s="744"/>
      <c r="P23" s="744"/>
      <c r="Q23" s="744"/>
      <c r="R23" s="744"/>
      <c r="S23" s="773"/>
      <c r="T23" s="509"/>
      <c r="U23" s="508"/>
    </row>
    <row r="24" spans="1:21" ht="24" customHeight="1">
      <c r="A24" s="641"/>
      <c r="B24" s="545"/>
      <c r="C24" s="774"/>
      <c r="D24" s="541" t="s">
        <v>420</v>
      </c>
      <c r="E24" s="462">
        <f aca="true" t="shared" si="4" ref="E24:K24">E25+E26</f>
        <v>72307.69</v>
      </c>
      <c r="F24" s="462">
        <f t="shared" si="4"/>
        <v>12144.72</v>
      </c>
      <c r="G24" s="462">
        <f t="shared" si="4"/>
        <v>11721.05</v>
      </c>
      <c r="H24" s="462">
        <f t="shared" si="4"/>
        <v>11716.59</v>
      </c>
      <c r="I24" s="462">
        <f t="shared" si="4"/>
        <v>12540.69</v>
      </c>
      <c r="J24" s="462">
        <f t="shared" si="4"/>
        <v>11405.62</v>
      </c>
      <c r="K24" s="462">
        <f t="shared" si="4"/>
        <v>12779.02</v>
      </c>
      <c r="L24" s="737" t="s">
        <v>268</v>
      </c>
      <c r="M24" s="742" t="s">
        <v>430</v>
      </c>
      <c r="N24" s="742" t="s">
        <v>430</v>
      </c>
      <c r="O24" s="742" t="s">
        <v>531</v>
      </c>
      <c r="P24" s="742" t="s">
        <v>524</v>
      </c>
      <c r="Q24" s="742" t="s">
        <v>524</v>
      </c>
      <c r="R24" s="742" t="s">
        <v>524</v>
      </c>
      <c r="S24" s="592" t="s">
        <v>527</v>
      </c>
      <c r="T24" s="509"/>
      <c r="U24" s="508"/>
    </row>
    <row r="25" spans="1:21" ht="15" customHeight="1">
      <c r="A25" s="641"/>
      <c r="B25" s="545"/>
      <c r="C25" s="774"/>
      <c r="D25" s="550" t="s">
        <v>5</v>
      </c>
      <c r="E25" s="464">
        <f>SUM(F25:K25)</f>
        <v>63313.26</v>
      </c>
      <c r="F25" s="465">
        <f>10576.82+20</f>
        <v>10596.82</v>
      </c>
      <c r="G25" s="464">
        <f>10113.83+63.48+11.44+19+90</f>
        <v>10297.75</v>
      </c>
      <c r="H25" s="464">
        <f>9621.23+62.68+150+80.3-98-150+59.7+150+148.71+51.29</f>
        <v>10075.91</v>
      </c>
      <c r="I25" s="464">
        <f>8892.12+72.39+250+864.25+640.9+0.7+50</f>
        <v>10770.36</v>
      </c>
      <c r="J25" s="464">
        <f>8337.12+72.39+150+898.82+669.86</f>
        <v>10128.19</v>
      </c>
      <c r="K25" s="464">
        <f>9337.12+72.39+400+934.77+699.95</f>
        <v>11444.230000000001</v>
      </c>
      <c r="L25" s="738"/>
      <c r="M25" s="743"/>
      <c r="N25" s="743"/>
      <c r="O25" s="743"/>
      <c r="P25" s="743"/>
      <c r="Q25" s="743"/>
      <c r="R25" s="743"/>
      <c r="S25" s="592"/>
      <c r="T25" s="509"/>
      <c r="U25" s="508"/>
    </row>
    <row r="26" spans="1:21" ht="15.75" customHeight="1">
      <c r="A26" s="641"/>
      <c r="B26" s="545"/>
      <c r="C26" s="774"/>
      <c r="D26" s="550" t="s">
        <v>6</v>
      </c>
      <c r="E26" s="464">
        <f>SUM(F26:K26)</f>
        <v>8994.43</v>
      </c>
      <c r="F26" s="465">
        <v>1547.9</v>
      </c>
      <c r="G26" s="464">
        <f>1206.1+217.2</f>
        <v>1423.3</v>
      </c>
      <c r="H26" s="464">
        <f>1525.69+114.99</f>
        <v>1640.68</v>
      </c>
      <c r="I26" s="657">
        <f>1770.33</f>
        <v>1770.33</v>
      </c>
      <c r="J26" s="464">
        <f>1277.43</f>
        <v>1277.43</v>
      </c>
      <c r="K26" s="464">
        <f>1334.79</f>
        <v>1334.79</v>
      </c>
      <c r="L26" s="739"/>
      <c r="M26" s="744"/>
      <c r="N26" s="744"/>
      <c r="O26" s="744"/>
      <c r="P26" s="744"/>
      <c r="Q26" s="744"/>
      <c r="R26" s="744"/>
      <c r="S26" s="592"/>
      <c r="T26" s="509"/>
      <c r="U26" s="508"/>
    </row>
    <row r="27" spans="1:21" ht="12.75" customHeight="1">
      <c r="A27" s="641"/>
      <c r="B27" s="545"/>
      <c r="C27" s="774"/>
      <c r="D27" s="541" t="s">
        <v>420</v>
      </c>
      <c r="E27" s="462">
        <f>SUM(F27:K27)</f>
        <v>138</v>
      </c>
      <c r="F27" s="462">
        <f aca="true" t="shared" si="5" ref="F27:K27">F28+F29</f>
        <v>138</v>
      </c>
      <c r="G27" s="462">
        <f t="shared" si="5"/>
        <v>0</v>
      </c>
      <c r="H27" s="462">
        <f t="shared" si="5"/>
        <v>0</v>
      </c>
      <c r="I27" s="462">
        <f t="shared" si="5"/>
        <v>0</v>
      </c>
      <c r="J27" s="462">
        <f t="shared" si="5"/>
        <v>0</v>
      </c>
      <c r="K27" s="462">
        <f t="shared" si="5"/>
        <v>0</v>
      </c>
      <c r="L27" s="737" t="s">
        <v>532</v>
      </c>
      <c r="M27" s="585" t="s">
        <v>526</v>
      </c>
      <c r="N27" s="585" t="s">
        <v>213</v>
      </c>
      <c r="O27" s="585" t="s">
        <v>213</v>
      </c>
      <c r="P27" s="585" t="s">
        <v>213</v>
      </c>
      <c r="Q27" s="585" t="s">
        <v>213</v>
      </c>
      <c r="R27" s="585" t="s">
        <v>213</v>
      </c>
      <c r="S27" s="587" t="s">
        <v>307</v>
      </c>
      <c r="T27" s="509"/>
      <c r="U27" s="508"/>
    </row>
    <row r="28" spans="1:21" ht="12.75" customHeight="1">
      <c r="A28" s="641"/>
      <c r="B28" s="545"/>
      <c r="C28" s="774"/>
      <c r="D28" s="550" t="s">
        <v>5</v>
      </c>
      <c r="E28" s="464">
        <f>SUM(F28:K28)</f>
        <v>138</v>
      </c>
      <c r="F28" s="584">
        <v>138</v>
      </c>
      <c r="G28" s="584">
        <v>0</v>
      </c>
      <c r="H28" s="584">
        <v>0</v>
      </c>
      <c r="I28" s="464">
        <v>0</v>
      </c>
      <c r="J28" s="464">
        <v>0</v>
      </c>
      <c r="K28" s="464">
        <v>0</v>
      </c>
      <c r="L28" s="738"/>
      <c r="M28" s="585"/>
      <c r="N28" s="585"/>
      <c r="O28" s="585"/>
      <c r="P28" s="585"/>
      <c r="Q28" s="551"/>
      <c r="R28" s="551"/>
      <c r="S28" s="592"/>
      <c r="T28" s="509"/>
      <c r="U28" s="508"/>
    </row>
    <row r="29" spans="1:21" ht="21.75" customHeight="1">
      <c r="A29" s="641"/>
      <c r="B29" s="545"/>
      <c r="C29" s="774"/>
      <c r="D29" s="550" t="s">
        <v>6</v>
      </c>
      <c r="E29" s="464">
        <f>SUM(F29:K29)</f>
        <v>0</v>
      </c>
      <c r="F29" s="584">
        <v>0</v>
      </c>
      <c r="G29" s="584">
        <v>0</v>
      </c>
      <c r="H29" s="584">
        <v>0</v>
      </c>
      <c r="I29" s="464">
        <v>0</v>
      </c>
      <c r="J29" s="464">
        <v>0</v>
      </c>
      <c r="K29" s="464">
        <v>0</v>
      </c>
      <c r="L29" s="739"/>
      <c r="M29" s="585"/>
      <c r="N29" s="585"/>
      <c r="O29" s="585"/>
      <c r="P29" s="585"/>
      <c r="Q29" s="551"/>
      <c r="R29" s="551"/>
      <c r="S29" s="593"/>
      <c r="T29" s="509"/>
      <c r="U29" s="508"/>
    </row>
    <row r="30" spans="1:21" ht="31.5" customHeight="1">
      <c r="A30" s="641"/>
      <c r="B30" s="545"/>
      <c r="C30" s="774"/>
      <c r="D30" s="541" t="s">
        <v>420</v>
      </c>
      <c r="E30" s="462">
        <f aca="true" t="shared" si="6" ref="E30:K30">E31+E32</f>
        <v>191.57000000000005</v>
      </c>
      <c r="F30" s="462">
        <f t="shared" si="6"/>
        <v>44</v>
      </c>
      <c r="G30" s="462">
        <f t="shared" si="6"/>
        <v>23.89</v>
      </c>
      <c r="H30" s="462">
        <f t="shared" si="6"/>
        <v>30.92</v>
      </c>
      <c r="I30" s="462">
        <f t="shared" si="6"/>
        <v>30.92</v>
      </c>
      <c r="J30" s="462">
        <f t="shared" si="6"/>
        <v>30.92</v>
      </c>
      <c r="K30" s="462">
        <f t="shared" si="6"/>
        <v>30.92</v>
      </c>
      <c r="L30" s="772" t="s">
        <v>424</v>
      </c>
      <c r="M30" s="742">
        <v>100</v>
      </c>
      <c r="N30" s="742">
        <v>100</v>
      </c>
      <c r="O30" s="742">
        <v>100</v>
      </c>
      <c r="P30" s="742">
        <v>100</v>
      </c>
      <c r="Q30" s="742">
        <v>100</v>
      </c>
      <c r="R30" s="742">
        <v>100</v>
      </c>
      <c r="S30" s="727" t="s">
        <v>423</v>
      </c>
      <c r="T30" s="509"/>
      <c r="U30" s="508"/>
    </row>
    <row r="31" spans="1:21" ht="15.75" customHeight="1">
      <c r="A31" s="641"/>
      <c r="B31" s="545"/>
      <c r="C31" s="774"/>
      <c r="D31" s="550" t="s">
        <v>5</v>
      </c>
      <c r="E31" s="464">
        <v>0</v>
      </c>
      <c r="F31" s="464">
        <v>0</v>
      </c>
      <c r="G31" s="584">
        <v>0</v>
      </c>
      <c r="H31" s="584">
        <v>0</v>
      </c>
      <c r="I31" s="464">
        <v>0</v>
      </c>
      <c r="J31" s="464">
        <v>0</v>
      </c>
      <c r="K31" s="464">
        <v>0</v>
      </c>
      <c r="L31" s="762"/>
      <c r="M31" s="747"/>
      <c r="N31" s="747"/>
      <c r="O31" s="747"/>
      <c r="P31" s="747"/>
      <c r="Q31" s="747"/>
      <c r="R31" s="747"/>
      <c r="S31" s="794"/>
      <c r="T31" s="509"/>
      <c r="U31" s="508"/>
    </row>
    <row r="32" spans="1:21" ht="32.25" customHeight="1">
      <c r="A32" s="642"/>
      <c r="B32" s="545"/>
      <c r="C32" s="775"/>
      <c r="D32" s="594" t="s">
        <v>6</v>
      </c>
      <c r="E32" s="506">
        <f>SUM(F32:K32)</f>
        <v>191.57000000000005</v>
      </c>
      <c r="F32" s="506">
        <v>44</v>
      </c>
      <c r="G32" s="549">
        <f>37.99-14.1</f>
        <v>23.89</v>
      </c>
      <c r="H32" s="549">
        <v>30.92</v>
      </c>
      <c r="I32" s="549">
        <v>30.92</v>
      </c>
      <c r="J32" s="549">
        <v>30.92</v>
      </c>
      <c r="K32" s="549">
        <v>30.92</v>
      </c>
      <c r="L32" s="763"/>
      <c r="M32" s="748"/>
      <c r="N32" s="748"/>
      <c r="O32" s="748"/>
      <c r="P32" s="748"/>
      <c r="Q32" s="748"/>
      <c r="R32" s="748"/>
      <c r="S32" s="795"/>
      <c r="T32" s="509"/>
      <c r="U32" s="508"/>
    </row>
    <row r="33" spans="1:21" ht="18" customHeight="1">
      <c r="A33" s="16" t="s">
        <v>24</v>
      </c>
      <c r="B33" s="765" t="s">
        <v>456</v>
      </c>
      <c r="C33" s="766"/>
      <c r="D33" s="766"/>
      <c r="E33" s="766"/>
      <c r="F33" s="766"/>
      <c r="G33" s="766"/>
      <c r="H33" s="766"/>
      <c r="I33" s="766"/>
      <c r="J33" s="766"/>
      <c r="K33" s="766"/>
      <c r="L33" s="766"/>
      <c r="M33" s="766"/>
      <c r="N33" s="766"/>
      <c r="O33" s="766"/>
      <c r="P33" s="766"/>
      <c r="Q33" s="766"/>
      <c r="R33" s="766"/>
      <c r="S33" s="767"/>
      <c r="T33" s="509"/>
      <c r="U33" s="508"/>
    </row>
    <row r="34" spans="1:21" ht="23.25" customHeight="1">
      <c r="A34" s="758" t="s">
        <v>26</v>
      </c>
      <c r="B34" s="737" t="s">
        <v>425</v>
      </c>
      <c r="C34" s="761" t="s">
        <v>480</v>
      </c>
      <c r="D34" s="637" t="s">
        <v>249</v>
      </c>
      <c r="E34" s="442">
        <f aca="true" t="shared" si="7" ref="E34:K34">SUM(E35:E38)</f>
        <v>127</v>
      </c>
      <c r="F34" s="442">
        <f t="shared" si="7"/>
        <v>35</v>
      </c>
      <c r="G34" s="442">
        <f t="shared" si="7"/>
        <v>35</v>
      </c>
      <c r="H34" s="442">
        <f t="shared" si="7"/>
        <v>15</v>
      </c>
      <c r="I34" s="442">
        <f t="shared" si="7"/>
        <v>14</v>
      </c>
      <c r="J34" s="442">
        <f t="shared" si="7"/>
        <v>14</v>
      </c>
      <c r="K34" s="442">
        <f t="shared" si="7"/>
        <v>14</v>
      </c>
      <c r="L34" s="737" t="s">
        <v>256</v>
      </c>
      <c r="M34" s="742" t="s">
        <v>236</v>
      </c>
      <c r="N34" s="742" t="s">
        <v>236</v>
      </c>
      <c r="O34" s="742" t="s">
        <v>236</v>
      </c>
      <c r="P34" s="742" t="s">
        <v>236</v>
      </c>
      <c r="Q34" s="742" t="s">
        <v>236</v>
      </c>
      <c r="R34" s="742" t="s">
        <v>236</v>
      </c>
      <c r="S34" s="727" t="s">
        <v>307</v>
      </c>
      <c r="T34" s="643" t="s">
        <v>489</v>
      </c>
      <c r="U34" s="508"/>
    </row>
    <row r="35" spans="1:21" ht="11.25" customHeight="1">
      <c r="A35" s="759"/>
      <c r="B35" s="768"/>
      <c r="C35" s="762"/>
      <c r="D35" s="740" t="s">
        <v>5</v>
      </c>
      <c r="E35" s="764">
        <f>SUM(F35:K36)</f>
        <v>127</v>
      </c>
      <c r="F35" s="764">
        <v>35</v>
      </c>
      <c r="G35" s="764">
        <v>35</v>
      </c>
      <c r="H35" s="764">
        <v>15</v>
      </c>
      <c r="I35" s="764">
        <v>14</v>
      </c>
      <c r="J35" s="764">
        <v>14</v>
      </c>
      <c r="K35" s="764">
        <v>14</v>
      </c>
      <c r="L35" s="738"/>
      <c r="M35" s="743"/>
      <c r="N35" s="743"/>
      <c r="O35" s="743"/>
      <c r="P35" s="743"/>
      <c r="Q35" s="743"/>
      <c r="R35" s="743"/>
      <c r="S35" s="762"/>
      <c r="T35" s="644" t="s">
        <v>487</v>
      </c>
      <c r="U35" s="508"/>
    </row>
    <row r="36" spans="1:21" ht="3.75" customHeight="1">
      <c r="A36" s="759"/>
      <c r="B36" s="768"/>
      <c r="C36" s="762"/>
      <c r="D36" s="740"/>
      <c r="E36" s="764"/>
      <c r="F36" s="764"/>
      <c r="G36" s="764"/>
      <c r="H36" s="764"/>
      <c r="I36" s="764"/>
      <c r="J36" s="764"/>
      <c r="K36" s="764"/>
      <c r="L36" s="738"/>
      <c r="M36" s="743"/>
      <c r="N36" s="743"/>
      <c r="O36" s="743"/>
      <c r="P36" s="743"/>
      <c r="Q36" s="743"/>
      <c r="R36" s="743"/>
      <c r="S36" s="762"/>
      <c r="T36" s="509"/>
      <c r="U36" s="508"/>
    </row>
    <row r="37" spans="1:21" ht="5.25" customHeight="1">
      <c r="A37" s="759"/>
      <c r="B37" s="768"/>
      <c r="C37" s="762"/>
      <c r="D37" s="741" t="s">
        <v>6</v>
      </c>
      <c r="E37" s="770">
        <f>SUM(F37:K38)</f>
        <v>0</v>
      </c>
      <c r="F37" s="770">
        <v>0</v>
      </c>
      <c r="G37" s="770">
        <v>0</v>
      </c>
      <c r="H37" s="770">
        <v>0</v>
      </c>
      <c r="I37" s="770">
        <v>0</v>
      </c>
      <c r="J37" s="770">
        <v>0</v>
      </c>
      <c r="K37" s="770">
        <v>0</v>
      </c>
      <c r="L37" s="738"/>
      <c r="M37" s="743"/>
      <c r="N37" s="743"/>
      <c r="O37" s="743"/>
      <c r="P37" s="743"/>
      <c r="Q37" s="743"/>
      <c r="R37" s="743"/>
      <c r="S37" s="762"/>
      <c r="T37" s="509"/>
      <c r="U37" s="508"/>
    </row>
    <row r="38" spans="1:21" ht="15" customHeight="1">
      <c r="A38" s="760"/>
      <c r="B38" s="769"/>
      <c r="C38" s="763"/>
      <c r="D38" s="755"/>
      <c r="E38" s="771"/>
      <c r="F38" s="771"/>
      <c r="G38" s="771"/>
      <c r="H38" s="771"/>
      <c r="I38" s="771"/>
      <c r="J38" s="771"/>
      <c r="K38" s="771"/>
      <c r="L38" s="739"/>
      <c r="M38" s="744"/>
      <c r="N38" s="744"/>
      <c r="O38" s="744"/>
      <c r="P38" s="744"/>
      <c r="Q38" s="744"/>
      <c r="R38" s="744"/>
      <c r="S38" s="763"/>
      <c r="T38" s="509"/>
      <c r="U38" s="508"/>
    </row>
    <row r="39" spans="1:21" ht="12" customHeight="1">
      <c r="A39" s="8" t="s">
        <v>28</v>
      </c>
      <c r="B39" s="765" t="s">
        <v>427</v>
      </c>
      <c r="C39" s="766"/>
      <c r="D39" s="766"/>
      <c r="E39" s="766"/>
      <c r="F39" s="766"/>
      <c r="G39" s="766"/>
      <c r="H39" s="766"/>
      <c r="I39" s="766"/>
      <c r="J39" s="766"/>
      <c r="K39" s="766"/>
      <c r="L39" s="766"/>
      <c r="M39" s="766"/>
      <c r="N39" s="766"/>
      <c r="O39" s="766"/>
      <c r="P39" s="766"/>
      <c r="Q39" s="766"/>
      <c r="R39" s="766"/>
      <c r="S39" s="767"/>
      <c r="T39" s="509"/>
      <c r="U39" s="508"/>
    </row>
    <row r="40" spans="1:21" s="233" customFormat="1" ht="13.5" customHeight="1">
      <c r="A40" s="727" t="s">
        <v>30</v>
      </c>
      <c r="B40" s="752" t="s">
        <v>426</v>
      </c>
      <c r="C40" s="755" t="s">
        <v>480</v>
      </c>
      <c r="D40" s="637" t="s">
        <v>249</v>
      </c>
      <c r="E40" s="442">
        <f aca="true" t="shared" si="8" ref="E40:K40">E41+E42</f>
        <v>20328.05</v>
      </c>
      <c r="F40" s="442">
        <f t="shared" si="8"/>
        <v>3089.2</v>
      </c>
      <c r="G40" s="442">
        <f t="shared" si="8"/>
        <v>3138.8</v>
      </c>
      <c r="H40" s="442">
        <f t="shared" si="8"/>
        <v>3008.5199999999995</v>
      </c>
      <c r="I40" s="442">
        <f t="shared" si="8"/>
        <v>3766.73</v>
      </c>
      <c r="J40" s="442">
        <f t="shared" si="8"/>
        <v>3715.5</v>
      </c>
      <c r="K40" s="442">
        <f t="shared" si="8"/>
        <v>3609.3</v>
      </c>
      <c r="L40" s="737" t="s">
        <v>432</v>
      </c>
      <c r="M40" s="742" t="s">
        <v>266</v>
      </c>
      <c r="N40" s="742" t="s">
        <v>525</v>
      </c>
      <c r="O40" s="742" t="s">
        <v>266</v>
      </c>
      <c r="P40" s="742" t="s">
        <v>266</v>
      </c>
      <c r="Q40" s="742" t="s">
        <v>266</v>
      </c>
      <c r="R40" s="742" t="s">
        <v>266</v>
      </c>
      <c r="S40" s="727" t="s">
        <v>51</v>
      </c>
      <c r="T40" s="643" t="s">
        <v>488</v>
      </c>
      <c r="U40" s="509"/>
    </row>
    <row r="41" spans="1:21" s="233" customFormat="1" ht="13.5" customHeight="1">
      <c r="A41" s="733"/>
      <c r="B41" s="753"/>
      <c r="C41" s="756"/>
      <c r="D41" s="595" t="s">
        <v>5</v>
      </c>
      <c r="E41" s="590">
        <f>F41+G41+H41+I41+J41+K41</f>
        <v>8936.75</v>
      </c>
      <c r="F41" s="590">
        <v>1606</v>
      </c>
      <c r="G41" s="590">
        <f>1307</f>
        <v>1307</v>
      </c>
      <c r="H41" s="590">
        <f>1138.58+215-139.26+50</f>
        <v>1264.32</v>
      </c>
      <c r="I41" s="590">
        <f>1331.97+288.66</f>
        <v>1620.63</v>
      </c>
      <c r="J41" s="590">
        <f>1280.74+288.66</f>
        <v>1569.4</v>
      </c>
      <c r="K41" s="590">
        <f>1280.74+288.66</f>
        <v>1569.4</v>
      </c>
      <c r="L41" s="762"/>
      <c r="M41" s="747"/>
      <c r="N41" s="747"/>
      <c r="O41" s="747"/>
      <c r="P41" s="747"/>
      <c r="Q41" s="747"/>
      <c r="R41" s="747"/>
      <c r="S41" s="733"/>
      <c r="T41" s="644" t="s">
        <v>490</v>
      </c>
      <c r="U41" s="645" t="s">
        <v>493</v>
      </c>
    </row>
    <row r="42" spans="1:21" s="233" customFormat="1" ht="13.5" customHeight="1">
      <c r="A42" s="733"/>
      <c r="B42" s="753"/>
      <c r="C42" s="756"/>
      <c r="D42" s="594" t="s">
        <v>6</v>
      </c>
      <c r="E42" s="590">
        <f>F42+G42+H42+I42+J42+K42</f>
        <v>11391.3</v>
      </c>
      <c r="F42" s="589">
        <v>1483.2</v>
      </c>
      <c r="G42" s="589">
        <f>1762.3-69.5+139</f>
        <v>1831.8</v>
      </c>
      <c r="H42" s="589">
        <f>1879+186.2-8.8-312.2</f>
        <v>1744.1999999999996</v>
      </c>
      <c r="I42" s="589">
        <f>148.5+1997.6</f>
        <v>2146.1</v>
      </c>
      <c r="J42" s="589">
        <f>148.5+1997.6</f>
        <v>2146.1</v>
      </c>
      <c r="K42" s="589">
        <f>148.5+1891.4</f>
        <v>2039.9</v>
      </c>
      <c r="L42" s="763"/>
      <c r="M42" s="748"/>
      <c r="N42" s="748"/>
      <c r="O42" s="748"/>
      <c r="P42" s="748"/>
      <c r="Q42" s="748"/>
      <c r="R42" s="748"/>
      <c r="S42" s="733"/>
      <c r="T42" s="644" t="s">
        <v>491</v>
      </c>
      <c r="U42" s="645" t="s">
        <v>492</v>
      </c>
    </row>
    <row r="43" spans="1:21" s="233" customFormat="1" ht="16.5" customHeight="1" hidden="1">
      <c r="A43" s="733"/>
      <c r="B43" s="753"/>
      <c r="C43" s="756"/>
      <c r="D43" s="420"/>
      <c r="E43" s="590"/>
      <c r="F43" s="590"/>
      <c r="G43" s="590"/>
      <c r="H43" s="590"/>
      <c r="I43" s="590"/>
      <c r="J43" s="590"/>
      <c r="K43" s="590"/>
      <c r="L43" s="796"/>
      <c r="M43" s="745"/>
      <c r="N43" s="745"/>
      <c r="O43" s="745"/>
      <c r="P43" s="745"/>
      <c r="Q43" s="585"/>
      <c r="R43" s="585"/>
      <c r="S43" s="733"/>
      <c r="T43" s="509"/>
      <c r="U43" s="509"/>
    </row>
    <row r="44" spans="1:21" s="233" customFormat="1" ht="16.5" customHeight="1" hidden="1" thickBot="1">
      <c r="A44" s="734"/>
      <c r="B44" s="754"/>
      <c r="C44" s="757"/>
      <c r="D44" s="420"/>
      <c r="E44" s="590"/>
      <c r="F44" s="590"/>
      <c r="G44" s="590"/>
      <c r="H44" s="590"/>
      <c r="I44" s="590"/>
      <c r="J44" s="590"/>
      <c r="K44" s="590"/>
      <c r="L44" s="749"/>
      <c r="M44" s="746"/>
      <c r="N44" s="746"/>
      <c r="O44" s="746"/>
      <c r="P44" s="746"/>
      <c r="Q44" s="582"/>
      <c r="R44" s="582"/>
      <c r="S44" s="734"/>
      <c r="T44" s="509"/>
      <c r="U44" s="509"/>
    </row>
    <row r="45" spans="1:21" ht="12" customHeight="1">
      <c r="A45" s="8" t="s">
        <v>34</v>
      </c>
      <c r="B45" s="790" t="s">
        <v>473</v>
      </c>
      <c r="C45" s="790"/>
      <c r="D45" s="790"/>
      <c r="E45" s="790"/>
      <c r="F45" s="790"/>
      <c r="G45" s="790"/>
      <c r="H45" s="790"/>
      <c r="I45" s="790"/>
      <c r="J45" s="790"/>
      <c r="K45" s="790"/>
      <c r="L45" s="790"/>
      <c r="M45" s="790"/>
      <c r="N45" s="790"/>
      <c r="O45" s="790"/>
      <c r="P45" s="790"/>
      <c r="Q45" s="790"/>
      <c r="R45" s="790"/>
      <c r="S45" s="790"/>
      <c r="T45" s="509"/>
      <c r="U45" s="508"/>
    </row>
    <row r="46" spans="1:21" s="233" customFormat="1" ht="14.25" customHeight="1">
      <c r="A46" s="727" t="s">
        <v>36</v>
      </c>
      <c r="B46" s="737" t="s">
        <v>472</v>
      </c>
      <c r="C46" s="730" t="s">
        <v>480</v>
      </c>
      <c r="D46" s="637" t="s">
        <v>249</v>
      </c>
      <c r="E46" s="442">
        <f aca="true" t="shared" si="9" ref="E46:K46">E47+E48</f>
        <v>8392.13</v>
      </c>
      <c r="F46" s="442">
        <f t="shared" si="9"/>
        <v>2209.5</v>
      </c>
      <c r="G46" s="442">
        <f>G47+G48</f>
        <v>1866.62</v>
      </c>
      <c r="H46" s="442">
        <f t="shared" si="9"/>
        <v>646.21</v>
      </c>
      <c r="I46" s="656">
        <f t="shared" si="9"/>
        <v>3119.8</v>
      </c>
      <c r="J46" s="442">
        <f t="shared" si="9"/>
        <v>550</v>
      </c>
      <c r="K46" s="442">
        <f t="shared" si="9"/>
        <v>0</v>
      </c>
      <c r="L46" s="737"/>
      <c r="M46" s="742"/>
      <c r="N46" s="742"/>
      <c r="O46" s="742"/>
      <c r="P46" s="742"/>
      <c r="Q46" s="742"/>
      <c r="R46" s="742"/>
      <c r="S46" s="727"/>
      <c r="T46" s="643" t="s">
        <v>494</v>
      </c>
      <c r="U46" s="509"/>
    </row>
    <row r="47" spans="1:21" s="233" customFormat="1" ht="13.5" customHeight="1">
      <c r="A47" s="735"/>
      <c r="B47" s="738"/>
      <c r="C47" s="740"/>
      <c r="D47" s="595" t="s">
        <v>5</v>
      </c>
      <c r="E47" s="590">
        <f>F47+G47+H47+I47+J47+K47</f>
        <v>6745.73</v>
      </c>
      <c r="F47" s="464">
        <f aca="true" t="shared" si="10" ref="F47:K48">F50+F53</f>
        <v>2209.5</v>
      </c>
      <c r="G47" s="464">
        <f>G50+G53+G56</f>
        <v>1866.62</v>
      </c>
      <c r="H47" s="464">
        <f t="shared" si="10"/>
        <v>646.21</v>
      </c>
      <c r="I47" s="657">
        <f>I50+I53+I59+I56</f>
        <v>1473.4</v>
      </c>
      <c r="J47" s="464">
        <f t="shared" si="10"/>
        <v>550</v>
      </c>
      <c r="K47" s="464">
        <f t="shared" si="10"/>
        <v>0</v>
      </c>
      <c r="L47" s="738"/>
      <c r="M47" s="743"/>
      <c r="N47" s="743"/>
      <c r="O47" s="743"/>
      <c r="P47" s="743"/>
      <c r="Q47" s="743"/>
      <c r="R47" s="743"/>
      <c r="S47" s="733"/>
      <c r="T47" s="644" t="s">
        <v>495</v>
      </c>
      <c r="U47" s="509"/>
    </row>
    <row r="48" spans="1:21" s="233" customFormat="1" ht="15" customHeight="1">
      <c r="A48" s="735"/>
      <c r="B48" s="738"/>
      <c r="C48" s="740"/>
      <c r="D48" s="595" t="s">
        <v>6</v>
      </c>
      <c r="E48" s="590">
        <f>F48+G48+H48+I48+J48+K48</f>
        <v>1646.4</v>
      </c>
      <c r="F48" s="464">
        <f t="shared" si="10"/>
        <v>0</v>
      </c>
      <c r="G48" s="464">
        <f t="shared" si="10"/>
        <v>0</v>
      </c>
      <c r="H48" s="464">
        <f t="shared" si="10"/>
        <v>0</v>
      </c>
      <c r="I48" s="657">
        <f>I51+I54+I57+I60</f>
        <v>1646.4</v>
      </c>
      <c r="J48" s="464">
        <f t="shared" si="10"/>
        <v>0</v>
      </c>
      <c r="K48" s="464">
        <f t="shared" si="10"/>
        <v>0</v>
      </c>
      <c r="L48" s="739"/>
      <c r="M48" s="744"/>
      <c r="N48" s="744"/>
      <c r="O48" s="744"/>
      <c r="P48" s="744"/>
      <c r="Q48" s="744"/>
      <c r="R48" s="744"/>
      <c r="S48" s="734"/>
      <c r="T48" s="509"/>
      <c r="U48" s="509"/>
    </row>
    <row r="49" spans="1:21" s="233" customFormat="1" ht="12" customHeight="1">
      <c r="A49" s="735"/>
      <c r="B49" s="738"/>
      <c r="C49" s="740"/>
      <c r="D49" s="637" t="s">
        <v>249</v>
      </c>
      <c r="E49" s="442">
        <f>E50+E51</f>
        <v>7385.51</v>
      </c>
      <c r="F49" s="442">
        <f aca="true" t="shared" si="11" ref="F49:K49">F50+F51</f>
        <v>2209.5</v>
      </c>
      <c r="G49" s="442">
        <f t="shared" si="11"/>
        <v>1470</v>
      </c>
      <c r="H49" s="442">
        <f t="shared" si="11"/>
        <v>646.21</v>
      </c>
      <c r="I49" s="656">
        <f t="shared" si="11"/>
        <v>2509.8</v>
      </c>
      <c r="J49" s="442">
        <f t="shared" si="11"/>
        <v>550</v>
      </c>
      <c r="K49" s="442">
        <f t="shared" si="11"/>
        <v>0</v>
      </c>
      <c r="L49" s="727" t="s">
        <v>248</v>
      </c>
      <c r="M49" s="742" t="s">
        <v>236</v>
      </c>
      <c r="N49" s="742" t="s">
        <v>236</v>
      </c>
      <c r="O49" s="742" t="s">
        <v>236</v>
      </c>
      <c r="P49" s="742" t="s">
        <v>236</v>
      </c>
      <c r="Q49" s="742" t="s">
        <v>213</v>
      </c>
      <c r="R49" s="742" t="s">
        <v>213</v>
      </c>
      <c r="S49" s="727" t="s">
        <v>146</v>
      </c>
      <c r="T49" s="509"/>
      <c r="U49" s="509"/>
    </row>
    <row r="50" spans="1:21" s="233" customFormat="1" ht="12" customHeight="1">
      <c r="A50" s="735"/>
      <c r="B50" s="738"/>
      <c r="C50" s="740"/>
      <c r="D50" s="595" t="s">
        <v>5</v>
      </c>
      <c r="E50" s="590">
        <f>F50+G50+H50+I50+J50+K50</f>
        <v>5739.11</v>
      </c>
      <c r="F50" s="464">
        <v>2209.5</v>
      </c>
      <c r="G50" s="464">
        <f>1050+240+100+80</f>
        <v>1470</v>
      </c>
      <c r="H50" s="464">
        <f>882.16-235.95</f>
        <v>646.21</v>
      </c>
      <c r="I50" s="658">
        <f>I62</f>
        <v>863.4</v>
      </c>
      <c r="J50" s="658">
        <v>550</v>
      </c>
      <c r="K50" s="584">
        <v>0</v>
      </c>
      <c r="L50" s="735"/>
      <c r="M50" s="743"/>
      <c r="N50" s="743"/>
      <c r="O50" s="743"/>
      <c r="P50" s="743"/>
      <c r="Q50" s="743"/>
      <c r="R50" s="743"/>
      <c r="S50" s="733"/>
      <c r="T50" s="509"/>
      <c r="U50" s="509"/>
    </row>
    <row r="51" spans="1:21" s="233" customFormat="1" ht="12" customHeight="1">
      <c r="A51" s="735"/>
      <c r="B51" s="738"/>
      <c r="C51" s="740"/>
      <c r="D51" s="595" t="s">
        <v>6</v>
      </c>
      <c r="E51" s="590">
        <f>F51+G51+H51+I51+J51+K51</f>
        <v>1646.4</v>
      </c>
      <c r="F51" s="464">
        <v>0</v>
      </c>
      <c r="G51" s="464">
        <v>0</v>
      </c>
      <c r="H51" s="464">
        <v>0</v>
      </c>
      <c r="I51" s="657">
        <f>I63</f>
        <v>1646.4</v>
      </c>
      <c r="J51" s="464">
        <v>0</v>
      </c>
      <c r="K51" s="464">
        <v>0</v>
      </c>
      <c r="L51" s="735"/>
      <c r="M51" s="744"/>
      <c r="N51" s="744"/>
      <c r="O51" s="744"/>
      <c r="P51" s="744"/>
      <c r="Q51" s="744"/>
      <c r="R51" s="744"/>
      <c r="S51" s="734"/>
      <c r="T51" s="509"/>
      <c r="U51" s="509"/>
    </row>
    <row r="52" spans="1:21" s="233" customFormat="1" ht="12" customHeight="1">
      <c r="A52" s="735"/>
      <c r="B52" s="738"/>
      <c r="C52" s="740"/>
      <c r="D52" s="637" t="s">
        <v>249</v>
      </c>
      <c r="E52" s="442">
        <f aca="true" t="shared" si="12" ref="E52:K52">E53+E54</f>
        <v>575</v>
      </c>
      <c r="F52" s="442">
        <f t="shared" si="12"/>
        <v>0</v>
      </c>
      <c r="G52" s="442">
        <f t="shared" si="12"/>
        <v>275</v>
      </c>
      <c r="H52" s="442">
        <f t="shared" si="12"/>
        <v>0</v>
      </c>
      <c r="I52" s="442">
        <f t="shared" si="12"/>
        <v>300</v>
      </c>
      <c r="J52" s="442">
        <f t="shared" si="12"/>
        <v>0</v>
      </c>
      <c r="K52" s="442">
        <f t="shared" si="12"/>
        <v>0</v>
      </c>
      <c r="L52" s="735"/>
      <c r="M52" s="742" t="s">
        <v>213</v>
      </c>
      <c r="N52" s="742" t="s">
        <v>236</v>
      </c>
      <c r="O52" s="742" t="s">
        <v>213</v>
      </c>
      <c r="P52" s="742" t="s">
        <v>213</v>
      </c>
      <c r="Q52" s="742" t="s">
        <v>213</v>
      </c>
      <c r="R52" s="742" t="s">
        <v>213</v>
      </c>
      <c r="S52" s="727" t="s">
        <v>51</v>
      </c>
      <c r="T52" s="509"/>
      <c r="U52" s="509"/>
    </row>
    <row r="53" spans="1:21" s="233" customFormat="1" ht="12" customHeight="1">
      <c r="A53" s="735"/>
      <c r="B53" s="738"/>
      <c r="C53" s="740"/>
      <c r="D53" s="595" t="s">
        <v>5</v>
      </c>
      <c r="E53" s="590">
        <f>F53+G53+H53+I53+J53+K53</f>
        <v>575</v>
      </c>
      <c r="F53" s="464">
        <v>0</v>
      </c>
      <c r="G53" s="464">
        <v>275</v>
      </c>
      <c r="H53" s="464">
        <v>0</v>
      </c>
      <c r="I53" s="584">
        <v>300</v>
      </c>
      <c r="J53" s="584">
        <v>0</v>
      </c>
      <c r="K53" s="584">
        <v>0</v>
      </c>
      <c r="L53" s="735"/>
      <c r="M53" s="743"/>
      <c r="N53" s="743"/>
      <c r="O53" s="743"/>
      <c r="P53" s="743"/>
      <c r="Q53" s="743"/>
      <c r="R53" s="743"/>
      <c r="S53" s="733"/>
      <c r="T53" s="509"/>
      <c r="U53" s="509"/>
    </row>
    <row r="54" spans="1:21" s="233" customFormat="1" ht="12" customHeight="1">
      <c r="A54" s="735"/>
      <c r="B54" s="738"/>
      <c r="C54" s="740"/>
      <c r="D54" s="595" t="s">
        <v>6</v>
      </c>
      <c r="E54" s="590">
        <f>F54+G54+H54+I54+J54+K54</f>
        <v>0</v>
      </c>
      <c r="F54" s="464">
        <v>0</v>
      </c>
      <c r="G54" s="464">
        <v>0</v>
      </c>
      <c r="H54" s="464">
        <v>0</v>
      </c>
      <c r="I54" s="464">
        <v>0</v>
      </c>
      <c r="J54" s="464">
        <v>0</v>
      </c>
      <c r="K54" s="464">
        <v>0</v>
      </c>
      <c r="L54" s="735"/>
      <c r="M54" s="744"/>
      <c r="N54" s="744"/>
      <c r="O54" s="744"/>
      <c r="P54" s="744"/>
      <c r="Q54" s="744"/>
      <c r="R54" s="744"/>
      <c r="S54" s="734"/>
      <c r="T54" s="509"/>
      <c r="U54" s="509"/>
    </row>
    <row r="55" spans="1:21" s="233" customFormat="1" ht="12" customHeight="1">
      <c r="A55" s="735"/>
      <c r="B55" s="738"/>
      <c r="C55" s="740"/>
      <c r="D55" s="637" t="s">
        <v>249</v>
      </c>
      <c r="E55" s="442">
        <f aca="true" t="shared" si="13" ref="E55:K55">E56+E57</f>
        <v>121.62</v>
      </c>
      <c r="F55" s="442">
        <f t="shared" si="13"/>
        <v>0</v>
      </c>
      <c r="G55" s="442">
        <f t="shared" si="13"/>
        <v>121.62</v>
      </c>
      <c r="H55" s="442">
        <f t="shared" si="13"/>
        <v>0</v>
      </c>
      <c r="I55" s="442">
        <f t="shared" si="13"/>
        <v>0</v>
      </c>
      <c r="J55" s="442">
        <f t="shared" si="13"/>
        <v>0</v>
      </c>
      <c r="K55" s="442">
        <f t="shared" si="13"/>
        <v>0</v>
      </c>
      <c r="L55" s="735"/>
      <c r="M55" s="742" t="s">
        <v>213</v>
      </c>
      <c r="N55" s="742" t="s">
        <v>236</v>
      </c>
      <c r="O55" s="742" t="s">
        <v>213</v>
      </c>
      <c r="P55" s="742" t="s">
        <v>213</v>
      </c>
      <c r="Q55" s="742" t="s">
        <v>213</v>
      </c>
      <c r="R55" s="742" t="s">
        <v>213</v>
      </c>
      <c r="S55" s="727" t="s">
        <v>520</v>
      </c>
      <c r="T55" s="509"/>
      <c r="U55" s="509"/>
    </row>
    <row r="56" spans="1:21" s="233" customFormat="1" ht="12" customHeight="1">
      <c r="A56" s="735"/>
      <c r="B56" s="738"/>
      <c r="C56" s="740"/>
      <c r="D56" s="595" t="s">
        <v>5</v>
      </c>
      <c r="E56" s="590">
        <f>F56+G56+H56+I56+J56+K56</f>
        <v>121.62</v>
      </c>
      <c r="F56" s="464">
        <v>0</v>
      </c>
      <c r="G56" s="464">
        <v>121.62</v>
      </c>
      <c r="H56" s="464">
        <v>0</v>
      </c>
      <c r="I56" s="584">
        <v>0</v>
      </c>
      <c r="J56" s="584">
        <v>0</v>
      </c>
      <c r="K56" s="584">
        <v>0</v>
      </c>
      <c r="L56" s="735"/>
      <c r="M56" s="743"/>
      <c r="N56" s="743"/>
      <c r="O56" s="743"/>
      <c r="P56" s="743"/>
      <c r="Q56" s="743"/>
      <c r="R56" s="743"/>
      <c r="S56" s="733"/>
      <c r="T56" s="509"/>
      <c r="U56" s="509"/>
    </row>
    <row r="57" spans="1:21" s="233" customFormat="1" ht="12" customHeight="1">
      <c r="A57" s="735"/>
      <c r="B57" s="738"/>
      <c r="C57" s="740"/>
      <c r="D57" s="595" t="s">
        <v>6</v>
      </c>
      <c r="E57" s="590">
        <f>F57+G57+H57+I57+J57+K57</f>
        <v>0</v>
      </c>
      <c r="F57" s="464">
        <v>0</v>
      </c>
      <c r="G57" s="464">
        <v>0</v>
      </c>
      <c r="H57" s="464">
        <v>0</v>
      </c>
      <c r="I57" s="464">
        <v>0</v>
      </c>
      <c r="J57" s="464">
        <v>0</v>
      </c>
      <c r="K57" s="464">
        <v>0</v>
      </c>
      <c r="L57" s="735"/>
      <c r="M57" s="744"/>
      <c r="N57" s="744"/>
      <c r="O57" s="744"/>
      <c r="P57" s="744"/>
      <c r="Q57" s="744"/>
      <c r="R57" s="744"/>
      <c r="S57" s="734"/>
      <c r="T57" s="509"/>
      <c r="U57" s="509"/>
    </row>
    <row r="58" spans="1:21" s="233" customFormat="1" ht="12" customHeight="1">
      <c r="A58" s="735"/>
      <c r="B58" s="738"/>
      <c r="C58" s="740"/>
      <c r="D58" s="637" t="s">
        <v>249</v>
      </c>
      <c r="E58" s="442">
        <f aca="true" t="shared" si="14" ref="E58:K58">E59+E60</f>
        <v>310</v>
      </c>
      <c r="F58" s="442">
        <f t="shared" si="14"/>
        <v>0</v>
      </c>
      <c r="G58" s="442">
        <f t="shared" si="14"/>
        <v>0</v>
      </c>
      <c r="H58" s="442">
        <f t="shared" si="14"/>
        <v>0</v>
      </c>
      <c r="I58" s="442">
        <f t="shared" si="14"/>
        <v>310</v>
      </c>
      <c r="J58" s="442">
        <f t="shared" si="14"/>
        <v>0</v>
      </c>
      <c r="K58" s="442">
        <f t="shared" si="14"/>
        <v>0</v>
      </c>
      <c r="L58" s="735"/>
      <c r="M58" s="742" t="s">
        <v>213</v>
      </c>
      <c r="N58" s="742" t="s">
        <v>213</v>
      </c>
      <c r="O58" s="742" t="s">
        <v>213</v>
      </c>
      <c r="P58" s="742" t="s">
        <v>236</v>
      </c>
      <c r="Q58" s="742" t="s">
        <v>213</v>
      </c>
      <c r="R58" s="742" t="s">
        <v>213</v>
      </c>
      <c r="S58" s="727" t="s">
        <v>529</v>
      </c>
      <c r="T58" s="509"/>
      <c r="U58" s="509"/>
    </row>
    <row r="59" spans="1:21" s="233" customFormat="1" ht="12" customHeight="1">
      <c r="A59" s="735"/>
      <c r="B59" s="738"/>
      <c r="C59" s="740"/>
      <c r="D59" s="595" t="s">
        <v>5</v>
      </c>
      <c r="E59" s="590">
        <f>F59+G59+H59+I59+J59+K59</f>
        <v>310</v>
      </c>
      <c r="F59" s="464">
        <v>0</v>
      </c>
      <c r="G59" s="464">
        <v>0</v>
      </c>
      <c r="H59" s="464">
        <v>0</v>
      </c>
      <c r="I59" s="584">
        <f>200+110</f>
        <v>310</v>
      </c>
      <c r="J59" s="584">
        <v>0</v>
      </c>
      <c r="K59" s="584">
        <v>0</v>
      </c>
      <c r="L59" s="735"/>
      <c r="M59" s="743"/>
      <c r="N59" s="743"/>
      <c r="O59" s="743"/>
      <c r="P59" s="743"/>
      <c r="Q59" s="743"/>
      <c r="R59" s="743"/>
      <c r="S59" s="733"/>
      <c r="T59" s="509"/>
      <c r="U59" s="509"/>
    </row>
    <row r="60" spans="1:21" s="233" customFormat="1" ht="12" customHeight="1">
      <c r="A60" s="736"/>
      <c r="B60" s="739"/>
      <c r="C60" s="741"/>
      <c r="D60" s="595" t="s">
        <v>6</v>
      </c>
      <c r="E60" s="590">
        <f>F60+G60+H60+I60+J60+K60</f>
        <v>0</v>
      </c>
      <c r="F60" s="464">
        <v>0</v>
      </c>
      <c r="G60" s="464">
        <v>0</v>
      </c>
      <c r="H60" s="464">
        <v>0</v>
      </c>
      <c r="I60" s="464">
        <v>0</v>
      </c>
      <c r="J60" s="464">
        <v>0</v>
      </c>
      <c r="K60" s="464">
        <v>0</v>
      </c>
      <c r="L60" s="736"/>
      <c r="M60" s="744"/>
      <c r="N60" s="744"/>
      <c r="O60" s="744"/>
      <c r="P60" s="744"/>
      <c r="Q60" s="744"/>
      <c r="R60" s="744"/>
      <c r="S60" s="734"/>
      <c r="T60" s="509"/>
      <c r="U60" s="509"/>
    </row>
    <row r="61" spans="1:21" s="233" customFormat="1" ht="26.25" customHeight="1">
      <c r="A61" s="727" t="s">
        <v>82</v>
      </c>
      <c r="B61" s="1311" t="s">
        <v>537</v>
      </c>
      <c r="C61" s="1312"/>
      <c r="D61" s="1313" t="s">
        <v>249</v>
      </c>
      <c r="E61" s="1314">
        <f>E62+E63</f>
        <v>2509.8</v>
      </c>
      <c r="F61" s="1314">
        <f aca="true" t="shared" si="15" ref="F61:K61">F62+F63</f>
        <v>0</v>
      </c>
      <c r="G61" s="1314">
        <f t="shared" si="15"/>
        <v>0</v>
      </c>
      <c r="H61" s="1314">
        <f t="shared" si="15"/>
        <v>0</v>
      </c>
      <c r="I61" s="1314">
        <f t="shared" si="15"/>
        <v>2509.8</v>
      </c>
      <c r="J61" s="1314">
        <f t="shared" si="15"/>
        <v>0</v>
      </c>
      <c r="K61" s="1314">
        <f t="shared" si="15"/>
        <v>0</v>
      </c>
      <c r="L61" s="1315" t="s">
        <v>538</v>
      </c>
      <c r="M61" s="1316" t="s">
        <v>213</v>
      </c>
      <c r="N61" s="1316" t="s">
        <v>213</v>
      </c>
      <c r="O61" s="1316" t="s">
        <v>213</v>
      </c>
      <c r="P61" s="1316" t="s">
        <v>236</v>
      </c>
      <c r="Q61" s="1316" t="s">
        <v>213</v>
      </c>
      <c r="R61" s="1316" t="s">
        <v>213</v>
      </c>
      <c r="S61" s="1315" t="s">
        <v>146</v>
      </c>
      <c r="T61" s="509"/>
      <c r="U61" s="509"/>
    </row>
    <row r="62" spans="1:21" s="233" customFormat="1" ht="48" customHeight="1">
      <c r="A62" s="728"/>
      <c r="B62" s="1317"/>
      <c r="C62" s="1318"/>
      <c r="D62" s="1319" t="s">
        <v>5</v>
      </c>
      <c r="E62" s="1320">
        <f>F62+G62+H62+I62+J62+K62</f>
        <v>863.4</v>
      </c>
      <c r="F62" s="1321">
        <v>0</v>
      </c>
      <c r="G62" s="1321">
        <v>0</v>
      </c>
      <c r="H62" s="1321">
        <v>0</v>
      </c>
      <c r="I62" s="1322">
        <v>863.4</v>
      </c>
      <c r="J62" s="1322">
        <v>0</v>
      </c>
      <c r="K62" s="1322">
        <v>0</v>
      </c>
      <c r="L62" s="1323"/>
      <c r="M62" s="1324"/>
      <c r="N62" s="1324"/>
      <c r="O62" s="1324"/>
      <c r="P62" s="1324"/>
      <c r="Q62" s="1324"/>
      <c r="R62" s="1324"/>
      <c r="S62" s="1325"/>
      <c r="T62" s="509"/>
      <c r="U62" s="509"/>
    </row>
    <row r="63" spans="1:21" s="233" customFormat="1" ht="65.25" customHeight="1" thickBot="1">
      <c r="A63" s="729"/>
      <c r="B63" s="1326"/>
      <c r="C63" s="1327"/>
      <c r="D63" s="1319" t="s">
        <v>6</v>
      </c>
      <c r="E63" s="1320">
        <f>F63+G63+H63+I63+J63+K63</f>
        <v>1646.4</v>
      </c>
      <c r="F63" s="1321">
        <v>0</v>
      </c>
      <c r="G63" s="1321">
        <v>0</v>
      </c>
      <c r="H63" s="1321">
        <v>0</v>
      </c>
      <c r="I63" s="1321">
        <v>1646.4</v>
      </c>
      <c r="J63" s="1321">
        <v>0</v>
      </c>
      <c r="K63" s="1321">
        <v>0</v>
      </c>
      <c r="L63" s="1328" t="s">
        <v>539</v>
      </c>
      <c r="M63" s="1329" t="s">
        <v>213</v>
      </c>
      <c r="N63" s="1329" t="s">
        <v>213</v>
      </c>
      <c r="O63" s="1329" t="s">
        <v>213</v>
      </c>
      <c r="P63" s="1329" t="s">
        <v>236</v>
      </c>
      <c r="Q63" s="1329" t="s">
        <v>213</v>
      </c>
      <c r="R63" s="1329" t="s">
        <v>213</v>
      </c>
      <c r="S63" s="1330"/>
      <c r="T63" s="509"/>
      <c r="U63" s="509"/>
    </row>
    <row r="64" spans="1:21" ht="12" customHeight="1">
      <c r="A64" s="791"/>
      <c r="B64" s="1331" t="s">
        <v>13</v>
      </c>
      <c r="C64" s="1332"/>
      <c r="D64" s="1333" t="s">
        <v>296</v>
      </c>
      <c r="E64" s="1334">
        <f aca="true" t="shared" si="16" ref="E64:K64">SUM(E66:E67)</f>
        <v>1019583.929</v>
      </c>
      <c r="F64" s="1334">
        <f t="shared" si="16"/>
        <v>164366.81</v>
      </c>
      <c r="G64" s="1334">
        <f t="shared" si="16"/>
        <v>154906.24000000002</v>
      </c>
      <c r="H64" s="1334">
        <f t="shared" si="16"/>
        <v>160931.66999999998</v>
      </c>
      <c r="I64" s="1334">
        <f t="shared" si="16"/>
        <v>179982.2</v>
      </c>
      <c r="J64" s="1334">
        <f t="shared" si="16"/>
        <v>173163.049</v>
      </c>
      <c r="K64" s="1335">
        <f t="shared" si="16"/>
        <v>186233.96</v>
      </c>
      <c r="L64" s="1336"/>
      <c r="M64" s="1337"/>
      <c r="N64" s="1337"/>
      <c r="O64" s="1337"/>
      <c r="P64" s="1337"/>
      <c r="Q64" s="1337"/>
      <c r="R64" s="1337"/>
      <c r="S64" s="1338"/>
      <c r="T64" s="643" t="s">
        <v>484</v>
      </c>
      <c r="U64" s="508"/>
    </row>
    <row r="65" spans="1:21" ht="12" customHeight="1">
      <c r="A65" s="791"/>
      <c r="B65" s="1331"/>
      <c r="C65" s="1332"/>
      <c r="D65" s="1339"/>
      <c r="E65" s="1340"/>
      <c r="F65" s="1340"/>
      <c r="G65" s="1340"/>
      <c r="H65" s="1340"/>
      <c r="I65" s="1340"/>
      <c r="J65" s="1340"/>
      <c r="K65" s="1341"/>
      <c r="L65" s="1342"/>
      <c r="M65" s="1343"/>
      <c r="N65" s="1343"/>
      <c r="O65" s="1343"/>
      <c r="P65" s="1343"/>
      <c r="Q65" s="1343"/>
      <c r="R65" s="1343"/>
      <c r="S65" s="1344"/>
      <c r="T65" s="509"/>
      <c r="U65" s="508"/>
    </row>
    <row r="66" spans="1:21" ht="15.75" customHeight="1">
      <c r="A66" s="791"/>
      <c r="B66" s="1331"/>
      <c r="C66" s="1332"/>
      <c r="D66" s="1345" t="s">
        <v>5</v>
      </c>
      <c r="E66" s="503">
        <f>SUM(F66:K66)</f>
        <v>326931.007</v>
      </c>
      <c r="F66" s="503">
        <f aca="true" t="shared" si="17" ref="F66:K66">F41+F35+F12+F47</f>
        <v>54136.11</v>
      </c>
      <c r="G66" s="503">
        <f t="shared" si="17"/>
        <v>52740.238000000005</v>
      </c>
      <c r="H66" s="503">
        <f t="shared" si="17"/>
        <v>49070.350000000006</v>
      </c>
      <c r="I66" s="503">
        <f t="shared" si="17"/>
        <v>59652.45</v>
      </c>
      <c r="J66" s="503">
        <f>J41+J35+J12+J47</f>
        <v>51800.15900000001</v>
      </c>
      <c r="K66" s="503">
        <f t="shared" si="17"/>
        <v>59531.70000000001</v>
      </c>
      <c r="L66" s="1342"/>
      <c r="M66" s="1343"/>
      <c r="N66" s="1343"/>
      <c r="O66" s="1343"/>
      <c r="P66" s="1343"/>
      <c r="Q66" s="1343"/>
      <c r="R66" s="1343"/>
      <c r="S66" s="1344"/>
      <c r="T66" s="509"/>
      <c r="U66" s="508"/>
    </row>
    <row r="67" spans="1:21" ht="15.75" customHeight="1" thickBot="1">
      <c r="A67" s="791"/>
      <c r="B67" s="1331"/>
      <c r="C67" s="1332"/>
      <c r="D67" s="1346" t="s">
        <v>6</v>
      </c>
      <c r="E67" s="1347">
        <f>SUM(F67:K67)</f>
        <v>692652.922</v>
      </c>
      <c r="F67" s="1347">
        <f aca="true" t="shared" si="18" ref="F67:K67">F42+F37+F13+F48</f>
        <v>110230.7</v>
      </c>
      <c r="G67" s="1347">
        <f t="shared" si="18"/>
        <v>102166.00200000001</v>
      </c>
      <c r="H67" s="1347">
        <f t="shared" si="18"/>
        <v>111861.31999999998</v>
      </c>
      <c r="I67" s="1347">
        <f t="shared" si="18"/>
        <v>120329.75</v>
      </c>
      <c r="J67" s="1347">
        <f>J42+J37+J13+J48</f>
        <v>121362.89</v>
      </c>
      <c r="K67" s="1347">
        <f t="shared" si="18"/>
        <v>126702.25999999998</v>
      </c>
      <c r="L67" s="1348"/>
      <c r="M67" s="1349"/>
      <c r="N67" s="1349"/>
      <c r="O67" s="1349"/>
      <c r="P67" s="1349"/>
      <c r="Q67" s="1349"/>
      <c r="R67" s="1349"/>
      <c r="S67" s="1350"/>
      <c r="T67" s="509"/>
      <c r="U67" s="508"/>
    </row>
    <row r="68" spans="2:19" ht="18.75" customHeight="1">
      <c r="B68" s="233"/>
      <c r="C68" s="322"/>
      <c r="D68" s="323"/>
      <c r="E68" s="323"/>
      <c r="F68" s="323"/>
      <c r="G68" s="323"/>
      <c r="H68" s="323"/>
      <c r="I68" s="323"/>
      <c r="J68" s="323"/>
      <c r="K68" s="323"/>
      <c r="L68" s="324"/>
      <c r="M68" s="323"/>
      <c r="N68" s="323"/>
      <c r="O68" s="323"/>
      <c r="P68" s="323"/>
      <c r="Q68" s="323"/>
      <c r="R68" s="323"/>
      <c r="S68" s="325"/>
    </row>
    <row r="69" spans="2:19" ht="18.75" customHeight="1">
      <c r="B69" s="233"/>
      <c r="C69" s="322"/>
      <c r="D69" s="323"/>
      <c r="E69" s="323"/>
      <c r="F69" s="323"/>
      <c r="G69" s="323"/>
      <c r="H69" s="323"/>
      <c r="I69" s="323"/>
      <c r="J69" s="323"/>
      <c r="K69" s="323"/>
      <c r="L69" s="324"/>
      <c r="M69" s="323"/>
      <c r="N69" s="323"/>
      <c r="O69" s="323"/>
      <c r="P69" s="323"/>
      <c r="Q69" s="323"/>
      <c r="R69" s="323"/>
      <c r="S69" s="325"/>
    </row>
    <row r="70" spans="2:19" ht="18.75" customHeight="1">
      <c r="B70" s="233"/>
      <c r="C70" s="322"/>
      <c r="D70" s="323"/>
      <c r="E70" s="323"/>
      <c r="F70" s="326"/>
      <c r="G70" s="323"/>
      <c r="H70" s="323"/>
      <c r="I70" s="323"/>
      <c r="J70" s="323"/>
      <c r="K70" s="323"/>
      <c r="L70" s="324"/>
      <c r="M70" s="323"/>
      <c r="N70" s="323"/>
      <c r="O70" s="323"/>
      <c r="P70" s="323"/>
      <c r="Q70" s="323"/>
      <c r="R70" s="323"/>
      <c r="S70" s="325"/>
    </row>
    <row r="71" spans="2:19" ht="18.75" customHeight="1">
      <c r="B71" s="233"/>
      <c r="C71" s="322"/>
      <c r="D71" s="323"/>
      <c r="E71" s="323"/>
      <c r="F71" s="326"/>
      <c r="G71" s="326"/>
      <c r="H71" s="323"/>
      <c r="I71" s="326"/>
      <c r="J71" s="323"/>
      <c r="K71" s="323"/>
      <c r="L71" s="324"/>
      <c r="M71" s="323"/>
      <c r="N71" s="323"/>
      <c r="O71" s="323"/>
      <c r="P71" s="323"/>
      <c r="Q71" s="323"/>
      <c r="R71" s="323"/>
      <c r="S71" s="325"/>
    </row>
  </sheetData>
  <sheetProtection/>
  <mergeCells count="159">
    <mergeCell ref="T6:T7"/>
    <mergeCell ref="M49:M51"/>
    <mergeCell ref="N49:N51"/>
    <mergeCell ref="O49:O51"/>
    <mergeCell ref="P49:P51"/>
    <mergeCell ref="Q49:Q51"/>
    <mergeCell ref="L11:S13"/>
    <mergeCell ref="L27:L29"/>
    <mergeCell ref="M30:M32"/>
    <mergeCell ref="O30:O32"/>
    <mergeCell ref="P30:P32"/>
    <mergeCell ref="S30:S32"/>
    <mergeCell ref="O43:O44"/>
    <mergeCell ref="B33:S33"/>
    <mergeCell ref="L43:L44"/>
    <mergeCell ref="S40:S44"/>
    <mergeCell ref="R30:R32"/>
    <mergeCell ref="K37:K38"/>
    <mergeCell ref="N30:N32"/>
    <mergeCell ref="Q30:Q32"/>
    <mergeCell ref="A64:A67"/>
    <mergeCell ref="B64:B67"/>
    <mergeCell ref="C64:C67"/>
    <mergeCell ref="D64:D65"/>
    <mergeCell ref="E64:E65"/>
    <mergeCell ref="J64:J65"/>
    <mergeCell ref="F64:F65"/>
    <mergeCell ref="G64:G65"/>
    <mergeCell ref="I64:I65"/>
    <mergeCell ref="H64:H65"/>
    <mergeCell ref="K64:K65"/>
    <mergeCell ref="S34:S38"/>
    <mergeCell ref="M40:M42"/>
    <mergeCell ref="Q40:Q42"/>
    <mergeCell ref="B45:S45"/>
    <mergeCell ref="L46:L48"/>
    <mergeCell ref="K35:K36"/>
    <mergeCell ref="J37:J38"/>
    <mergeCell ref="L64:S67"/>
    <mergeCell ref="S49:S51"/>
    <mergeCell ref="A11:A15"/>
    <mergeCell ref="G1:S1"/>
    <mergeCell ref="A4:S4"/>
    <mergeCell ref="A6:A7"/>
    <mergeCell ref="B6:B7"/>
    <mergeCell ref="C6:C7"/>
    <mergeCell ref="Q15:Q16"/>
    <mergeCell ref="R15:R16"/>
    <mergeCell ref="L2:S2"/>
    <mergeCell ref="D6:D7"/>
    <mergeCell ref="S6:S7"/>
    <mergeCell ref="L6:R6"/>
    <mergeCell ref="I3:S3"/>
    <mergeCell ref="S14:S20"/>
    <mergeCell ref="E6:K6"/>
    <mergeCell ref="B9:S9"/>
    <mergeCell ref="B10:S10"/>
    <mergeCell ref="P15:P16"/>
    <mergeCell ref="L30:L32"/>
    <mergeCell ref="S21:S23"/>
    <mergeCell ref="C11:C32"/>
    <mergeCell ref="B11:B15"/>
    <mergeCell ref="L15:L16"/>
    <mergeCell ref="M15:M16"/>
    <mergeCell ref="N15:N16"/>
    <mergeCell ref="O15:O16"/>
    <mergeCell ref="R21:R23"/>
    <mergeCell ref="Q24:Q26"/>
    <mergeCell ref="D37:D38"/>
    <mergeCell ref="E37:E38"/>
    <mergeCell ref="D35:D36"/>
    <mergeCell ref="H35:H36"/>
    <mergeCell ref="F37:F38"/>
    <mergeCell ref="G37:G38"/>
    <mergeCell ref="F35:F36"/>
    <mergeCell ref="I37:I38"/>
    <mergeCell ref="L34:L38"/>
    <mergeCell ref="M34:M38"/>
    <mergeCell ref="N34:N38"/>
    <mergeCell ref="G35:G36"/>
    <mergeCell ref="H37:H38"/>
    <mergeCell ref="J35:J36"/>
    <mergeCell ref="A40:A44"/>
    <mergeCell ref="B40:B44"/>
    <mergeCell ref="C40:C44"/>
    <mergeCell ref="A34:A38"/>
    <mergeCell ref="C34:C38"/>
    <mergeCell ref="I35:I36"/>
    <mergeCell ref="B39:S39"/>
    <mergeCell ref="B34:B38"/>
    <mergeCell ref="L40:L42"/>
    <mergeCell ref="E35:E36"/>
    <mergeCell ref="N43:N44"/>
    <mergeCell ref="R55:R57"/>
    <mergeCell ref="M43:M44"/>
    <mergeCell ref="R40:R42"/>
    <mergeCell ref="Q46:Q48"/>
    <mergeCell ref="R46:R48"/>
    <mergeCell ref="N40:N42"/>
    <mergeCell ref="O40:O42"/>
    <mergeCell ref="M55:M57"/>
    <mergeCell ref="N55:N57"/>
    <mergeCell ref="S55:S57"/>
    <mergeCell ref="P46:P48"/>
    <mergeCell ref="P52:P54"/>
    <mergeCell ref="P55:P57"/>
    <mergeCell ref="Q55:Q57"/>
    <mergeCell ref="S52:S54"/>
    <mergeCell ref="Q52:Q54"/>
    <mergeCell ref="R52:R54"/>
    <mergeCell ref="S46:S48"/>
    <mergeCell ref="O46:O48"/>
    <mergeCell ref="N46:N48"/>
    <mergeCell ref="M52:M54"/>
    <mergeCell ref="M46:M48"/>
    <mergeCell ref="N52:N54"/>
    <mergeCell ref="O52:O54"/>
    <mergeCell ref="L21:L23"/>
    <mergeCell ref="M21:M23"/>
    <mergeCell ref="N21:N23"/>
    <mergeCell ref="O21:O23"/>
    <mergeCell ref="P21:P23"/>
    <mergeCell ref="Q21:Q23"/>
    <mergeCell ref="L24:L26"/>
    <mergeCell ref="M24:M26"/>
    <mergeCell ref="N24:N26"/>
    <mergeCell ref="O24:O26"/>
    <mergeCell ref="P24:P26"/>
    <mergeCell ref="R24:R26"/>
    <mergeCell ref="Q58:Q60"/>
    <mergeCell ref="R58:R60"/>
    <mergeCell ref="O34:O38"/>
    <mergeCell ref="P34:P38"/>
    <mergeCell ref="Q34:Q38"/>
    <mergeCell ref="R34:R38"/>
    <mergeCell ref="R49:R51"/>
    <mergeCell ref="P43:P44"/>
    <mergeCell ref="P40:P42"/>
    <mergeCell ref="O55:O57"/>
    <mergeCell ref="Q61:Q62"/>
    <mergeCell ref="S58:S60"/>
    <mergeCell ref="L49:L60"/>
    <mergeCell ref="B46:B60"/>
    <mergeCell ref="C46:C60"/>
    <mergeCell ref="A46:A60"/>
    <mergeCell ref="M58:M60"/>
    <mergeCell ref="N58:N60"/>
    <mergeCell ref="O58:O60"/>
    <mergeCell ref="P58:P60"/>
    <mergeCell ref="R61:R62"/>
    <mergeCell ref="S61:S63"/>
    <mergeCell ref="A61:A63"/>
    <mergeCell ref="B61:B63"/>
    <mergeCell ref="C61:C63"/>
    <mergeCell ref="L61:L62"/>
    <mergeCell ref="M61:M62"/>
    <mergeCell ref="N61:N62"/>
    <mergeCell ref="O61:O62"/>
    <mergeCell ref="P61:P62"/>
  </mergeCells>
  <printOptions horizontalCentered="1"/>
  <pageMargins left="0.2362204724409449" right="0.2362204724409449" top="0.5905511811023623" bottom="0.1968503937007874" header="0" footer="0"/>
  <pageSetup fitToHeight="0" fitToWidth="1" horizontalDpi="600" verticalDpi="600" orientation="landscape" paperSize="9" scale="79" r:id="rId1"/>
  <ignoredErrors>
    <ignoredError sqref="M3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R176"/>
  <sheetViews>
    <sheetView zoomScaleSheetLayoutView="100" workbookViewId="0" topLeftCell="A1">
      <pane ySplit="7" topLeftCell="A8" activePane="bottomLeft" state="frozen"/>
      <selection pane="topLeft" activeCell="A1" sqref="A1"/>
      <selection pane="bottomLeft" activeCell="L18" sqref="L18:L22"/>
    </sheetView>
  </sheetViews>
  <sheetFormatPr defaultColWidth="19.57421875" defaultRowHeight="18.75" customHeight="1"/>
  <cols>
    <col min="1" max="1" width="6.57421875" style="1" customWidth="1"/>
    <col min="2" max="2" width="28.421875" style="1" customWidth="1"/>
    <col min="3" max="3" width="6.421875" style="51" customWidth="1"/>
    <col min="4" max="4" width="6.8515625" style="42" customWidth="1"/>
    <col min="5" max="5" width="8.00390625" style="42" customWidth="1"/>
    <col min="6" max="10" width="8.421875" style="42" customWidth="1"/>
    <col min="11" max="11" width="23.421875" style="53" customWidth="1"/>
    <col min="12" max="16" width="5.00390625" style="42" customWidth="1"/>
    <col min="17" max="17" width="19.00390625" style="3" customWidth="1"/>
    <col min="18" max="16384" width="19.57421875" style="1" customWidth="1"/>
  </cols>
  <sheetData>
    <row r="1" spans="1:17" ht="26.25" customHeight="1">
      <c r="A1" s="9"/>
      <c r="B1" s="9"/>
      <c r="C1" s="50"/>
      <c r="D1" s="35"/>
      <c r="E1" s="35"/>
      <c r="F1" s="35"/>
      <c r="G1" s="786" t="s">
        <v>405</v>
      </c>
      <c r="H1" s="786"/>
      <c r="I1" s="786"/>
      <c r="J1" s="786"/>
      <c r="K1" s="786"/>
      <c r="L1" s="786"/>
      <c r="M1" s="786"/>
      <c r="N1" s="786"/>
      <c r="O1" s="786"/>
      <c r="P1" s="786"/>
      <c r="Q1" s="786"/>
    </row>
    <row r="2" spans="1:17" ht="30.75" customHeight="1">
      <c r="A2" s="9"/>
      <c r="B2" s="9"/>
      <c r="C2" s="50"/>
      <c r="D2" s="35"/>
      <c r="E2" s="35"/>
      <c r="F2" s="35"/>
      <c r="G2" s="328"/>
      <c r="H2" s="328"/>
      <c r="I2" s="328"/>
      <c r="J2" s="328"/>
      <c r="K2" s="781" t="s">
        <v>404</v>
      </c>
      <c r="L2" s="781"/>
      <c r="M2" s="781"/>
      <c r="N2" s="781"/>
      <c r="O2" s="781"/>
      <c r="P2" s="781"/>
      <c r="Q2" s="781"/>
    </row>
    <row r="3" spans="1:17" ht="28.5" customHeight="1">
      <c r="A3" s="787" t="s">
        <v>403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</row>
    <row r="4" spans="1:17" ht="10.5" customHeight="1">
      <c r="A4" s="9"/>
      <c r="B4" s="9"/>
      <c r="C4" s="50"/>
      <c r="D4" s="35"/>
      <c r="E4" s="35"/>
      <c r="F4" s="35"/>
      <c r="G4" s="35"/>
      <c r="H4" s="35"/>
      <c r="I4" s="35"/>
      <c r="J4" s="35"/>
      <c r="K4" s="52"/>
      <c r="L4" s="35"/>
      <c r="M4" s="35"/>
      <c r="N4" s="35"/>
      <c r="O4" s="35"/>
      <c r="P4" s="35"/>
      <c r="Q4" s="79" t="s">
        <v>7</v>
      </c>
    </row>
    <row r="5" spans="1:17" s="15" customFormat="1" ht="40.5" customHeight="1">
      <c r="A5" s="788" t="s">
        <v>16</v>
      </c>
      <c r="B5" s="776" t="s">
        <v>15</v>
      </c>
      <c r="C5" s="788" t="s">
        <v>8</v>
      </c>
      <c r="D5" s="788" t="s">
        <v>9</v>
      </c>
      <c r="E5" s="778" t="s">
        <v>0</v>
      </c>
      <c r="F5" s="779"/>
      <c r="G5" s="779"/>
      <c r="H5" s="779"/>
      <c r="I5" s="779"/>
      <c r="J5" s="780"/>
      <c r="K5" s="778" t="s">
        <v>17</v>
      </c>
      <c r="L5" s="779"/>
      <c r="M5" s="779"/>
      <c r="N5" s="779"/>
      <c r="O5" s="779"/>
      <c r="P5" s="780"/>
      <c r="Q5" s="776" t="s">
        <v>14</v>
      </c>
    </row>
    <row r="6" spans="1:17" s="15" customFormat="1" ht="14.25" customHeight="1">
      <c r="A6" s="788"/>
      <c r="B6" s="777"/>
      <c r="C6" s="788"/>
      <c r="D6" s="788"/>
      <c r="E6" s="75" t="s">
        <v>1</v>
      </c>
      <c r="F6" s="75" t="s">
        <v>2</v>
      </c>
      <c r="G6" s="75" t="s">
        <v>3</v>
      </c>
      <c r="H6" s="75" t="s">
        <v>57</v>
      </c>
      <c r="I6" s="75" t="s">
        <v>155</v>
      </c>
      <c r="J6" s="75" t="s">
        <v>156</v>
      </c>
      <c r="K6" s="75" t="s">
        <v>4</v>
      </c>
      <c r="L6" s="75">
        <v>2014</v>
      </c>
      <c r="M6" s="75">
        <v>2015</v>
      </c>
      <c r="N6" s="75">
        <v>2016</v>
      </c>
      <c r="O6" s="75">
        <v>2017</v>
      </c>
      <c r="P6" s="75">
        <v>2018</v>
      </c>
      <c r="Q6" s="777"/>
    </row>
    <row r="7" spans="1:17" s="10" customFormat="1" ht="9.75" customHeight="1">
      <c r="A7" s="185">
        <v>1</v>
      </c>
      <c r="B7" s="185">
        <v>2</v>
      </c>
      <c r="C7" s="185">
        <v>3</v>
      </c>
      <c r="D7" s="185">
        <v>4</v>
      </c>
      <c r="E7" s="185">
        <v>5</v>
      </c>
      <c r="F7" s="185">
        <v>6</v>
      </c>
      <c r="G7" s="185">
        <v>7</v>
      </c>
      <c r="H7" s="185">
        <v>8</v>
      </c>
      <c r="I7" s="185">
        <v>9</v>
      </c>
      <c r="J7" s="185">
        <v>10</v>
      </c>
      <c r="K7" s="185">
        <v>11</v>
      </c>
      <c r="L7" s="185">
        <v>12</v>
      </c>
      <c r="M7" s="185">
        <v>13</v>
      </c>
      <c r="N7" s="185">
        <v>14</v>
      </c>
      <c r="O7" s="185">
        <v>15</v>
      </c>
      <c r="P7" s="185">
        <v>16</v>
      </c>
      <c r="Q7" s="185">
        <v>17</v>
      </c>
    </row>
    <row r="8" spans="1:17" ht="11.25" customHeight="1">
      <c r="A8" s="185"/>
      <c r="B8" s="782" t="s">
        <v>44</v>
      </c>
      <c r="C8" s="782"/>
      <c r="D8" s="782"/>
      <c r="E8" s="782"/>
      <c r="F8" s="782"/>
      <c r="G8" s="782"/>
      <c r="H8" s="782"/>
      <c r="I8" s="782"/>
      <c r="J8" s="782"/>
      <c r="K8" s="782"/>
      <c r="L8" s="782"/>
      <c r="M8" s="782"/>
      <c r="N8" s="782"/>
      <c r="O8" s="782"/>
      <c r="P8" s="782"/>
      <c r="Q8" s="782"/>
    </row>
    <row r="9" spans="1:17" ht="13.5" customHeight="1">
      <c r="A9" s="20">
        <v>1</v>
      </c>
      <c r="B9" s="783" t="s">
        <v>79</v>
      </c>
      <c r="C9" s="783"/>
      <c r="D9" s="783"/>
      <c r="E9" s="783"/>
      <c r="F9" s="783"/>
      <c r="G9" s="783"/>
      <c r="H9" s="783"/>
      <c r="I9" s="783"/>
      <c r="J9" s="783"/>
      <c r="K9" s="783"/>
      <c r="L9" s="783"/>
      <c r="M9" s="783"/>
      <c r="N9" s="783"/>
      <c r="O9" s="783"/>
      <c r="P9" s="783"/>
      <c r="Q9" s="783"/>
    </row>
    <row r="10" spans="1:17" ht="22.5" customHeight="1">
      <c r="A10" s="758" t="s">
        <v>19</v>
      </c>
      <c r="B10" s="902" t="s">
        <v>45</v>
      </c>
      <c r="C10" s="993" t="s">
        <v>161</v>
      </c>
      <c r="D10" s="139" t="s">
        <v>249</v>
      </c>
      <c r="E10" s="201">
        <f aca="true" t="shared" si="0" ref="E10:J10">E11</f>
        <v>10970.5</v>
      </c>
      <c r="F10" s="201">
        <f t="shared" si="0"/>
        <v>8761</v>
      </c>
      <c r="G10" s="201">
        <f t="shared" si="0"/>
        <v>2209.5</v>
      </c>
      <c r="H10" s="201">
        <f t="shared" si="0"/>
        <v>0</v>
      </c>
      <c r="I10" s="201">
        <f t="shared" si="0"/>
        <v>0</v>
      </c>
      <c r="J10" s="201">
        <f t="shared" si="0"/>
        <v>0</v>
      </c>
      <c r="K10" s="948" t="s">
        <v>248</v>
      </c>
      <c r="L10" s="949" t="s">
        <v>236</v>
      </c>
      <c r="M10" s="949" t="s">
        <v>236</v>
      </c>
      <c r="N10" s="949" t="s">
        <v>213</v>
      </c>
      <c r="O10" s="949" t="s">
        <v>213</v>
      </c>
      <c r="P10" s="949" t="s">
        <v>213</v>
      </c>
      <c r="Q10" s="949" t="s">
        <v>63</v>
      </c>
    </row>
    <row r="11" spans="1:17" ht="6.75" customHeight="1">
      <c r="A11" s="731"/>
      <c r="B11" s="940"/>
      <c r="C11" s="940"/>
      <c r="D11" s="932" t="s">
        <v>5</v>
      </c>
      <c r="E11" s="999">
        <f>SUM(F11:J12)</f>
        <v>10970.5</v>
      </c>
      <c r="F11" s="999">
        <f>16163-6362-120-300-620</f>
        <v>8761</v>
      </c>
      <c r="G11" s="999">
        <f>2359.5-150</f>
        <v>2209.5</v>
      </c>
      <c r="H11" s="999">
        <v>0</v>
      </c>
      <c r="I11" s="999">
        <v>0</v>
      </c>
      <c r="J11" s="999">
        <v>0</v>
      </c>
      <c r="K11" s="964"/>
      <c r="L11" s="964"/>
      <c r="M11" s="964"/>
      <c r="N11" s="964"/>
      <c r="O11" s="964"/>
      <c r="P11" s="964"/>
      <c r="Q11" s="946"/>
    </row>
    <row r="12" spans="1:17" ht="6.75" customHeight="1" thickBot="1">
      <c r="A12" s="731"/>
      <c r="B12" s="940"/>
      <c r="C12" s="940"/>
      <c r="D12" s="932"/>
      <c r="E12" s="999"/>
      <c r="F12" s="999"/>
      <c r="G12" s="999"/>
      <c r="H12" s="999"/>
      <c r="I12" s="999"/>
      <c r="J12" s="999"/>
      <c r="K12" s="964"/>
      <c r="L12" s="964"/>
      <c r="M12" s="964"/>
      <c r="N12" s="964"/>
      <c r="O12" s="964"/>
      <c r="P12" s="964"/>
      <c r="Q12" s="946"/>
    </row>
    <row r="13" spans="1:17" ht="15" customHeight="1">
      <c r="A13" s="995"/>
      <c r="B13" s="782" t="s">
        <v>23</v>
      </c>
      <c r="C13" s="996"/>
      <c r="D13" s="926" t="s">
        <v>249</v>
      </c>
      <c r="E13" s="916">
        <f>SUM(F13:J14)</f>
        <v>10970.5</v>
      </c>
      <c r="F13" s="916">
        <f>SUM(F15:F16)</f>
        <v>8761</v>
      </c>
      <c r="G13" s="916">
        <f>SUM(G15:G16)</f>
        <v>2209.5</v>
      </c>
      <c r="H13" s="916">
        <f>SUM(H15:H16)</f>
        <v>0</v>
      </c>
      <c r="I13" s="916">
        <f>SUM(I15:I16)</f>
        <v>0</v>
      </c>
      <c r="J13" s="918">
        <f>SUM(J15:J16)</f>
        <v>0</v>
      </c>
      <c r="K13" s="981"/>
      <c r="L13" s="911"/>
      <c r="M13" s="911"/>
      <c r="N13" s="911"/>
      <c r="O13" s="911"/>
      <c r="P13" s="911"/>
      <c r="Q13" s="911"/>
    </row>
    <row r="14" spans="1:17" ht="10.5" customHeight="1">
      <c r="A14" s="995"/>
      <c r="B14" s="782"/>
      <c r="C14" s="996"/>
      <c r="D14" s="998"/>
      <c r="E14" s="917"/>
      <c r="F14" s="917"/>
      <c r="G14" s="917"/>
      <c r="H14" s="917"/>
      <c r="I14" s="917"/>
      <c r="J14" s="919"/>
      <c r="K14" s="981"/>
      <c r="L14" s="911"/>
      <c r="M14" s="911"/>
      <c r="N14" s="911"/>
      <c r="O14" s="911"/>
      <c r="P14" s="911"/>
      <c r="Q14" s="911"/>
    </row>
    <row r="15" spans="1:17" ht="13.5" customHeight="1">
      <c r="A15" s="995"/>
      <c r="B15" s="782"/>
      <c r="C15" s="996"/>
      <c r="D15" s="38" t="s">
        <v>5</v>
      </c>
      <c r="E15" s="184">
        <f>SUM(F15:J15)</f>
        <v>10970.5</v>
      </c>
      <c r="F15" s="184">
        <f>SUM(F11,F67)</f>
        <v>8761</v>
      </c>
      <c r="G15" s="184">
        <f>G11</f>
        <v>2209.5</v>
      </c>
      <c r="H15" s="184">
        <f>SUM(H11,H67)</f>
        <v>0</v>
      </c>
      <c r="I15" s="184">
        <f>SUM(I11,I67)</f>
        <v>0</v>
      </c>
      <c r="J15" s="43">
        <f>SUM(J11,J67)</f>
        <v>0</v>
      </c>
      <c r="K15" s="981"/>
      <c r="L15" s="911"/>
      <c r="M15" s="911"/>
      <c r="N15" s="911"/>
      <c r="O15" s="911"/>
      <c r="P15" s="911"/>
      <c r="Q15" s="911"/>
    </row>
    <row r="16" spans="1:17" ht="13.5" customHeight="1" thickBot="1">
      <c r="A16" s="923"/>
      <c r="B16" s="924"/>
      <c r="C16" s="997"/>
      <c r="D16" s="39" t="s">
        <v>6</v>
      </c>
      <c r="E16" s="44">
        <f>SUM(F16:J16)</f>
        <v>0</v>
      </c>
      <c r="F16" s="44">
        <f>F66</f>
        <v>0</v>
      </c>
      <c r="G16" s="44">
        <v>0</v>
      </c>
      <c r="H16" s="44">
        <f>H66</f>
        <v>0</v>
      </c>
      <c r="I16" s="44">
        <f>I66</f>
        <v>0</v>
      </c>
      <c r="J16" s="45">
        <f>J66</f>
        <v>0</v>
      </c>
      <c r="K16" s="994"/>
      <c r="L16" s="901"/>
      <c r="M16" s="901"/>
      <c r="N16" s="901"/>
      <c r="O16" s="901"/>
      <c r="P16" s="901"/>
      <c r="Q16" s="901"/>
    </row>
    <row r="17" spans="1:17" ht="16.5" customHeight="1">
      <c r="A17" s="16" t="s">
        <v>24</v>
      </c>
      <c r="B17" s="986" t="s">
        <v>80</v>
      </c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87"/>
    </row>
    <row r="18" spans="1:17" ht="24" customHeight="1">
      <c r="A18" s="758" t="s">
        <v>26</v>
      </c>
      <c r="B18" s="902" t="s">
        <v>46</v>
      </c>
      <c r="C18" s="993" t="s">
        <v>161</v>
      </c>
      <c r="D18" s="197" t="s">
        <v>249</v>
      </c>
      <c r="E18" s="198">
        <f aca="true" t="shared" si="1" ref="E18:J18">SUM(E19:E22)</f>
        <v>978</v>
      </c>
      <c r="F18" s="198">
        <f t="shared" si="1"/>
        <v>240</v>
      </c>
      <c r="G18" s="198">
        <f t="shared" si="1"/>
        <v>138</v>
      </c>
      <c r="H18" s="198">
        <f t="shared" si="1"/>
        <v>200</v>
      </c>
      <c r="I18" s="198">
        <f t="shared" si="1"/>
        <v>200</v>
      </c>
      <c r="J18" s="198">
        <f t="shared" si="1"/>
        <v>200</v>
      </c>
      <c r="K18" s="902" t="s">
        <v>250</v>
      </c>
      <c r="L18" s="949" t="s">
        <v>240</v>
      </c>
      <c r="M18" s="949" t="s">
        <v>240</v>
      </c>
      <c r="N18" s="949" t="s">
        <v>240</v>
      </c>
      <c r="O18" s="949" t="s">
        <v>240</v>
      </c>
      <c r="P18" s="949" t="s">
        <v>240</v>
      </c>
      <c r="Q18" s="758" t="s">
        <v>136</v>
      </c>
    </row>
    <row r="19" spans="1:17" ht="16.5" customHeight="1">
      <c r="A19" s="846"/>
      <c r="B19" s="962"/>
      <c r="C19" s="984"/>
      <c r="D19" s="945" t="s">
        <v>5</v>
      </c>
      <c r="E19" s="955">
        <f>SUM(F19:J20)</f>
        <v>978</v>
      </c>
      <c r="F19" s="955">
        <v>240</v>
      </c>
      <c r="G19" s="991">
        <f>200-62</f>
        <v>138</v>
      </c>
      <c r="H19" s="955">
        <v>200</v>
      </c>
      <c r="I19" s="955">
        <v>200</v>
      </c>
      <c r="J19" s="955">
        <v>200</v>
      </c>
      <c r="K19" s="962"/>
      <c r="L19" s="988"/>
      <c r="M19" s="988"/>
      <c r="N19" s="988"/>
      <c r="O19" s="988"/>
      <c r="P19" s="988"/>
      <c r="Q19" s="984"/>
    </row>
    <row r="20" spans="1:17" ht="6" customHeight="1">
      <c r="A20" s="846"/>
      <c r="B20" s="962"/>
      <c r="C20" s="984"/>
      <c r="D20" s="990"/>
      <c r="E20" s="956"/>
      <c r="F20" s="956"/>
      <c r="G20" s="992"/>
      <c r="H20" s="956"/>
      <c r="I20" s="956"/>
      <c r="J20" s="956"/>
      <c r="K20" s="962"/>
      <c r="L20" s="988"/>
      <c r="M20" s="988"/>
      <c r="N20" s="988"/>
      <c r="O20" s="988"/>
      <c r="P20" s="988"/>
      <c r="Q20" s="984"/>
    </row>
    <row r="21" spans="1:17" ht="16.5" customHeight="1">
      <c r="A21" s="846"/>
      <c r="B21" s="962"/>
      <c r="C21" s="984"/>
      <c r="D21" s="932" t="s">
        <v>6</v>
      </c>
      <c r="E21" s="955">
        <f>SUM(F21:J22)</f>
        <v>0</v>
      </c>
      <c r="F21" s="973">
        <v>0</v>
      </c>
      <c r="G21" s="973">
        <v>0</v>
      </c>
      <c r="H21" s="973">
        <v>0</v>
      </c>
      <c r="I21" s="973">
        <v>0</v>
      </c>
      <c r="J21" s="973">
        <v>0</v>
      </c>
      <c r="K21" s="962"/>
      <c r="L21" s="988"/>
      <c r="M21" s="988"/>
      <c r="N21" s="988"/>
      <c r="O21" s="988"/>
      <c r="P21" s="988"/>
      <c r="Q21" s="984"/>
    </row>
    <row r="22" spans="1:17" ht="8.25" customHeight="1" thickBot="1">
      <c r="A22" s="847"/>
      <c r="B22" s="963"/>
      <c r="C22" s="985"/>
      <c r="D22" s="945"/>
      <c r="E22" s="958"/>
      <c r="F22" s="951"/>
      <c r="G22" s="951"/>
      <c r="H22" s="951"/>
      <c r="I22" s="951"/>
      <c r="J22" s="951"/>
      <c r="K22" s="963"/>
      <c r="L22" s="989"/>
      <c r="M22" s="989"/>
      <c r="N22" s="989"/>
      <c r="O22" s="989"/>
      <c r="P22" s="989"/>
      <c r="Q22" s="985"/>
    </row>
    <row r="23" spans="1:17" ht="12.75" customHeight="1">
      <c r="A23" s="822"/>
      <c r="B23" s="782" t="s">
        <v>43</v>
      </c>
      <c r="C23" s="816"/>
      <c r="D23" s="926" t="s">
        <v>249</v>
      </c>
      <c r="E23" s="916">
        <f>SUM(F23:J24)</f>
        <v>978</v>
      </c>
      <c r="F23" s="916">
        <f>SUM(F19)</f>
        <v>240</v>
      </c>
      <c r="G23" s="916">
        <f>SUM(G19)</f>
        <v>138</v>
      </c>
      <c r="H23" s="916">
        <f>SUM(H19)</f>
        <v>200</v>
      </c>
      <c r="I23" s="916">
        <f>SUM(I19)</f>
        <v>200</v>
      </c>
      <c r="J23" s="918">
        <f>SUM(J19)</f>
        <v>200</v>
      </c>
      <c r="K23" s="981"/>
      <c r="L23" s="932"/>
      <c r="M23" s="932"/>
      <c r="N23" s="932"/>
      <c r="O23" s="932"/>
      <c r="P23" s="932"/>
      <c r="Q23" s="822"/>
    </row>
    <row r="24" spans="1:17" ht="9.75" customHeight="1">
      <c r="A24" s="822"/>
      <c r="B24" s="782"/>
      <c r="C24" s="816"/>
      <c r="D24" s="927"/>
      <c r="E24" s="917"/>
      <c r="F24" s="917"/>
      <c r="G24" s="917"/>
      <c r="H24" s="917"/>
      <c r="I24" s="917"/>
      <c r="J24" s="919"/>
      <c r="K24" s="981"/>
      <c r="L24" s="932"/>
      <c r="M24" s="932"/>
      <c r="N24" s="932"/>
      <c r="O24" s="932"/>
      <c r="P24" s="932"/>
      <c r="Q24" s="822"/>
    </row>
    <row r="25" spans="1:17" ht="12" customHeight="1">
      <c r="A25" s="822"/>
      <c r="B25" s="782"/>
      <c r="C25" s="816"/>
      <c r="D25" s="38" t="s">
        <v>5</v>
      </c>
      <c r="E25" s="184">
        <f>SUM(F25:J25)</f>
        <v>978</v>
      </c>
      <c r="F25" s="184">
        <f>SUM(F19)</f>
        <v>240</v>
      </c>
      <c r="G25" s="210">
        <f>SUM(G19)</f>
        <v>138</v>
      </c>
      <c r="H25" s="184">
        <f>SUM(H19)</f>
        <v>200</v>
      </c>
      <c r="I25" s="184">
        <f>SUM(I19)</f>
        <v>200</v>
      </c>
      <c r="J25" s="43">
        <f>SUM(J19)</f>
        <v>200</v>
      </c>
      <c r="K25" s="981"/>
      <c r="L25" s="932"/>
      <c r="M25" s="932"/>
      <c r="N25" s="932"/>
      <c r="O25" s="932"/>
      <c r="P25" s="932"/>
      <c r="Q25" s="822"/>
    </row>
    <row r="26" spans="1:17" ht="11.25" customHeight="1" thickBot="1">
      <c r="A26" s="822"/>
      <c r="B26" s="782"/>
      <c r="C26" s="816"/>
      <c r="D26" s="39" t="s">
        <v>6</v>
      </c>
      <c r="E26" s="44">
        <f>SUM(F26:J26)</f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981"/>
      <c r="L26" s="932"/>
      <c r="M26" s="932"/>
      <c r="N26" s="932"/>
      <c r="O26" s="932"/>
      <c r="P26" s="932"/>
      <c r="Q26" s="822"/>
    </row>
    <row r="27" spans="1:17" ht="11.25" customHeight="1">
      <c r="A27" s="8" t="s">
        <v>28</v>
      </c>
      <c r="B27" s="986" t="s">
        <v>81</v>
      </c>
      <c r="C27" s="914"/>
      <c r="D27" s="914"/>
      <c r="E27" s="914"/>
      <c r="F27" s="914"/>
      <c r="G27" s="914"/>
      <c r="H27" s="914"/>
      <c r="I27" s="914"/>
      <c r="J27" s="914"/>
      <c r="K27" s="914"/>
      <c r="L27" s="914"/>
      <c r="M27" s="914"/>
      <c r="N27" s="914"/>
      <c r="O27" s="914"/>
      <c r="P27" s="914"/>
      <c r="Q27" s="987"/>
    </row>
    <row r="28" spans="1:17" ht="24" customHeight="1">
      <c r="A28" s="758" t="s">
        <v>30</v>
      </c>
      <c r="B28" s="976" t="s">
        <v>47</v>
      </c>
      <c r="C28" s="822" t="s">
        <v>161</v>
      </c>
      <c r="D28" s="197" t="s">
        <v>249</v>
      </c>
      <c r="E28" s="208">
        <f aca="true" t="shared" si="2" ref="E28:J28">E29</f>
        <v>210</v>
      </c>
      <c r="F28" s="208">
        <f t="shared" si="2"/>
        <v>70</v>
      </c>
      <c r="G28" s="208">
        <f t="shared" si="2"/>
        <v>35</v>
      </c>
      <c r="H28" s="208">
        <f t="shared" si="2"/>
        <v>35</v>
      </c>
      <c r="I28" s="208">
        <f t="shared" si="2"/>
        <v>35</v>
      </c>
      <c r="J28" s="208">
        <f t="shared" si="2"/>
        <v>35</v>
      </c>
      <c r="K28" s="902" t="s">
        <v>256</v>
      </c>
      <c r="L28" s="949" t="s">
        <v>236</v>
      </c>
      <c r="M28" s="949" t="s">
        <v>236</v>
      </c>
      <c r="N28" s="949" t="s">
        <v>236</v>
      </c>
      <c r="O28" s="949" t="s">
        <v>236</v>
      </c>
      <c r="P28" s="949" t="s">
        <v>236</v>
      </c>
      <c r="Q28" s="758" t="s">
        <v>136</v>
      </c>
    </row>
    <row r="29" spans="1:17" ht="16.5" customHeight="1">
      <c r="A29" s="846"/>
      <c r="B29" s="977"/>
      <c r="C29" s="978"/>
      <c r="D29" s="945" t="s">
        <v>5</v>
      </c>
      <c r="E29" s="955">
        <f>SUM(F29:J32)</f>
        <v>210</v>
      </c>
      <c r="F29" s="955">
        <v>70</v>
      </c>
      <c r="G29" s="955">
        <v>35</v>
      </c>
      <c r="H29" s="955">
        <v>35</v>
      </c>
      <c r="I29" s="955">
        <v>35</v>
      </c>
      <c r="J29" s="955">
        <v>35</v>
      </c>
      <c r="K29" s="984"/>
      <c r="L29" s="982"/>
      <c r="M29" s="982"/>
      <c r="N29" s="982"/>
      <c r="O29" s="982"/>
      <c r="P29" s="982"/>
      <c r="Q29" s="846"/>
    </row>
    <row r="30" spans="1:17" ht="1.5" customHeight="1">
      <c r="A30" s="846"/>
      <c r="B30" s="977"/>
      <c r="C30" s="978"/>
      <c r="D30" s="957"/>
      <c r="E30" s="958"/>
      <c r="F30" s="958"/>
      <c r="G30" s="958"/>
      <c r="H30" s="958"/>
      <c r="I30" s="958"/>
      <c r="J30" s="958"/>
      <c r="K30" s="985"/>
      <c r="L30" s="983"/>
      <c r="M30" s="983"/>
      <c r="N30" s="983"/>
      <c r="O30" s="983"/>
      <c r="P30" s="983"/>
      <c r="Q30" s="846"/>
    </row>
    <row r="31" spans="1:17" ht="16.5" customHeight="1">
      <c r="A31" s="846"/>
      <c r="B31" s="977"/>
      <c r="C31" s="978"/>
      <c r="D31" s="957"/>
      <c r="E31" s="958"/>
      <c r="F31" s="958"/>
      <c r="G31" s="958"/>
      <c r="H31" s="958"/>
      <c r="I31" s="958"/>
      <c r="J31" s="958"/>
      <c r="K31" s="900" t="s">
        <v>257</v>
      </c>
      <c r="L31" s="895" t="s">
        <v>236</v>
      </c>
      <c r="M31" s="895" t="s">
        <v>236</v>
      </c>
      <c r="N31" s="895" t="s">
        <v>236</v>
      </c>
      <c r="O31" s="895" t="s">
        <v>236</v>
      </c>
      <c r="P31" s="895" t="s">
        <v>236</v>
      </c>
      <c r="Q31" s="846"/>
    </row>
    <row r="32" spans="1:17" ht="16.5" customHeight="1" thickBot="1">
      <c r="A32" s="847"/>
      <c r="B32" s="977"/>
      <c r="C32" s="978"/>
      <c r="D32" s="957"/>
      <c r="E32" s="958"/>
      <c r="F32" s="958"/>
      <c r="G32" s="958"/>
      <c r="H32" s="958"/>
      <c r="I32" s="958"/>
      <c r="J32" s="958"/>
      <c r="K32" s="900"/>
      <c r="L32" s="928"/>
      <c r="M32" s="928"/>
      <c r="N32" s="928"/>
      <c r="O32" s="928"/>
      <c r="P32" s="928"/>
      <c r="Q32" s="847"/>
    </row>
    <row r="33" spans="1:17" ht="10.5" customHeight="1">
      <c r="A33" s="822"/>
      <c r="B33" s="782" t="s">
        <v>33</v>
      </c>
      <c r="C33" s="816"/>
      <c r="D33" s="926" t="s">
        <v>249</v>
      </c>
      <c r="E33" s="916">
        <f>SUM(F33:J34)</f>
        <v>210</v>
      </c>
      <c r="F33" s="916">
        <f>SUM(F35:F36)</f>
        <v>70</v>
      </c>
      <c r="G33" s="916">
        <f>SUM(G35:G36)</f>
        <v>35</v>
      </c>
      <c r="H33" s="916">
        <f>SUM(H35:H36)</f>
        <v>35</v>
      </c>
      <c r="I33" s="916">
        <f>SUM(I35:I36)</f>
        <v>35</v>
      </c>
      <c r="J33" s="918">
        <f>SUM(J35:J36)</f>
        <v>35</v>
      </c>
      <c r="K33" s="981"/>
      <c r="L33" s="932"/>
      <c r="M33" s="932"/>
      <c r="N33" s="932"/>
      <c r="O33" s="932"/>
      <c r="P33" s="932"/>
      <c r="Q33" s="822"/>
    </row>
    <row r="34" spans="1:17" ht="10.5" customHeight="1">
      <c r="A34" s="822"/>
      <c r="B34" s="782"/>
      <c r="C34" s="816"/>
      <c r="D34" s="927"/>
      <c r="E34" s="917"/>
      <c r="F34" s="917"/>
      <c r="G34" s="917"/>
      <c r="H34" s="917"/>
      <c r="I34" s="917"/>
      <c r="J34" s="919"/>
      <c r="K34" s="981"/>
      <c r="L34" s="932"/>
      <c r="M34" s="932"/>
      <c r="N34" s="932"/>
      <c r="O34" s="932"/>
      <c r="P34" s="932"/>
      <c r="Q34" s="822"/>
    </row>
    <row r="35" spans="1:17" ht="13.5" customHeight="1">
      <c r="A35" s="822"/>
      <c r="B35" s="782"/>
      <c r="C35" s="816"/>
      <c r="D35" s="38" t="s">
        <v>5</v>
      </c>
      <c r="E35" s="184">
        <f>SUM(F35:J35)</f>
        <v>210</v>
      </c>
      <c r="F35" s="184">
        <f>SUM(F29)</f>
        <v>70</v>
      </c>
      <c r="G35" s="184">
        <f>SUM(G29)</f>
        <v>35</v>
      </c>
      <c r="H35" s="184">
        <f>SUM(H29)</f>
        <v>35</v>
      </c>
      <c r="I35" s="184">
        <f>SUM(I29)</f>
        <v>35</v>
      </c>
      <c r="J35" s="43">
        <f>SUM(J29)</f>
        <v>35</v>
      </c>
      <c r="K35" s="981"/>
      <c r="L35" s="932"/>
      <c r="M35" s="932"/>
      <c r="N35" s="932"/>
      <c r="O35" s="932"/>
      <c r="P35" s="932"/>
      <c r="Q35" s="822"/>
    </row>
    <row r="36" spans="1:17" ht="13.5" customHeight="1" thickBot="1">
      <c r="A36" s="822"/>
      <c r="B36" s="782"/>
      <c r="C36" s="816"/>
      <c r="D36" s="39" t="s">
        <v>6</v>
      </c>
      <c r="E36" s="44">
        <f>SUM(F36:J36)</f>
        <v>0</v>
      </c>
      <c r="F36" s="44">
        <f>SUM(F31)</f>
        <v>0</v>
      </c>
      <c r="G36" s="44">
        <f>SUM(G31)</f>
        <v>0</v>
      </c>
      <c r="H36" s="44">
        <f>SUM(H31)</f>
        <v>0</v>
      </c>
      <c r="I36" s="44">
        <f>SUM(I31)</f>
        <v>0</v>
      </c>
      <c r="J36" s="45">
        <f>SUM(J31)</f>
        <v>0</v>
      </c>
      <c r="K36" s="981"/>
      <c r="L36" s="932"/>
      <c r="M36" s="932"/>
      <c r="N36" s="932"/>
      <c r="O36" s="932"/>
      <c r="P36" s="932"/>
      <c r="Q36" s="822"/>
    </row>
    <row r="37" spans="1:17" ht="15.75" customHeight="1" thickBot="1">
      <c r="A37" s="8" t="s">
        <v>34</v>
      </c>
      <c r="B37" s="912" t="s">
        <v>147</v>
      </c>
      <c r="C37" s="913"/>
      <c r="D37" s="914"/>
      <c r="E37" s="914"/>
      <c r="F37" s="914"/>
      <c r="G37" s="914"/>
      <c r="H37" s="914"/>
      <c r="I37" s="914"/>
      <c r="J37" s="914"/>
      <c r="K37" s="913"/>
      <c r="L37" s="913"/>
      <c r="M37" s="913"/>
      <c r="N37" s="913"/>
      <c r="O37" s="913"/>
      <c r="P37" s="913"/>
      <c r="Q37" s="915"/>
    </row>
    <row r="38" spans="1:17" ht="23.25" customHeight="1">
      <c r="A38" s="758" t="s">
        <v>36</v>
      </c>
      <c r="B38" s="976" t="s">
        <v>83</v>
      </c>
      <c r="C38" s="822" t="s">
        <v>161</v>
      </c>
      <c r="D38" s="120" t="s">
        <v>207</v>
      </c>
      <c r="E38" s="208">
        <f aca="true" t="shared" si="3" ref="E38:J38">SUM(E39:E42)</f>
        <v>1301.9</v>
      </c>
      <c r="F38" s="208">
        <f t="shared" si="3"/>
        <v>821.9</v>
      </c>
      <c r="G38" s="208">
        <f t="shared" si="3"/>
        <v>300</v>
      </c>
      <c r="H38" s="208">
        <f t="shared" si="3"/>
        <v>60</v>
      </c>
      <c r="I38" s="208">
        <f t="shared" si="3"/>
        <v>60</v>
      </c>
      <c r="J38" s="208">
        <f t="shared" si="3"/>
        <v>60</v>
      </c>
      <c r="K38" s="948" t="s">
        <v>258</v>
      </c>
      <c r="L38" s="196"/>
      <c r="M38" s="196"/>
      <c r="N38" s="196"/>
      <c r="O38" s="196"/>
      <c r="P38" s="196"/>
      <c r="Q38" s="114"/>
    </row>
    <row r="39" spans="1:17" ht="11.25" customHeight="1">
      <c r="A39" s="846"/>
      <c r="B39" s="977"/>
      <c r="C39" s="978"/>
      <c r="D39" s="979" t="s">
        <v>212</v>
      </c>
      <c r="E39" s="955">
        <f>SUM(F39:J40)</f>
        <v>546.5</v>
      </c>
      <c r="F39" s="955">
        <f>SUM(F47,F44,F50)</f>
        <v>356.5</v>
      </c>
      <c r="G39" s="955">
        <f>SUM(G47,G44,G50)</f>
        <v>100</v>
      </c>
      <c r="H39" s="955">
        <f>SUM(H47,H44,H50)</f>
        <v>30</v>
      </c>
      <c r="I39" s="955">
        <f>SUM(I47,I44,I50)</f>
        <v>30</v>
      </c>
      <c r="J39" s="955">
        <f>SUM(J47,J44,J50)</f>
        <v>30</v>
      </c>
      <c r="K39" s="960"/>
      <c r="L39" s="971">
        <v>100</v>
      </c>
      <c r="M39" s="971">
        <v>100</v>
      </c>
      <c r="N39" s="971">
        <v>100</v>
      </c>
      <c r="O39" s="971">
        <v>100</v>
      </c>
      <c r="P39" s="971">
        <v>100</v>
      </c>
      <c r="Q39" s="974" t="s">
        <v>132</v>
      </c>
    </row>
    <row r="40" spans="1:17" ht="6" customHeight="1">
      <c r="A40" s="846"/>
      <c r="B40" s="977"/>
      <c r="C40" s="978"/>
      <c r="D40" s="980"/>
      <c r="E40" s="956"/>
      <c r="F40" s="956"/>
      <c r="G40" s="956"/>
      <c r="H40" s="956"/>
      <c r="I40" s="956"/>
      <c r="J40" s="956"/>
      <c r="K40" s="960"/>
      <c r="L40" s="972"/>
      <c r="M40" s="972"/>
      <c r="N40" s="972"/>
      <c r="O40" s="972"/>
      <c r="P40" s="972"/>
      <c r="Q40" s="975"/>
    </row>
    <row r="41" spans="1:17" ht="11.25" customHeight="1">
      <c r="A41" s="846"/>
      <c r="B41" s="977"/>
      <c r="C41" s="978"/>
      <c r="D41" s="980"/>
      <c r="E41" s="955">
        <f>SUM(F41:J42)</f>
        <v>755.4</v>
      </c>
      <c r="F41" s="973">
        <f>SUM(F48,F45,F51)</f>
        <v>465.4</v>
      </c>
      <c r="G41" s="951">
        <f>SUM(G48,G45,G51)</f>
        <v>200</v>
      </c>
      <c r="H41" s="951">
        <f>SUM(H48,H45,H51)</f>
        <v>30</v>
      </c>
      <c r="I41" s="951">
        <f>SUM(I48,I45,I51)</f>
        <v>30</v>
      </c>
      <c r="J41" s="951">
        <f>SUM(J48,J45,J51)</f>
        <v>30</v>
      </c>
      <c r="K41" s="960"/>
      <c r="L41" s="971">
        <v>100</v>
      </c>
      <c r="M41" s="971">
        <v>100</v>
      </c>
      <c r="N41" s="971">
        <v>100</v>
      </c>
      <c r="O41" s="971">
        <v>100</v>
      </c>
      <c r="P41" s="971">
        <v>100</v>
      </c>
      <c r="Q41" s="863" t="s">
        <v>131</v>
      </c>
    </row>
    <row r="42" spans="1:17" ht="6" customHeight="1">
      <c r="A42" s="847"/>
      <c r="B42" s="977"/>
      <c r="C42" s="978"/>
      <c r="D42" s="980"/>
      <c r="E42" s="958"/>
      <c r="F42" s="951"/>
      <c r="G42" s="952"/>
      <c r="H42" s="952"/>
      <c r="I42" s="952"/>
      <c r="J42" s="952"/>
      <c r="K42" s="961"/>
      <c r="L42" s="972"/>
      <c r="M42" s="972"/>
      <c r="N42" s="972"/>
      <c r="O42" s="972"/>
      <c r="P42" s="972"/>
      <c r="Q42" s="863"/>
    </row>
    <row r="43" spans="1:17" ht="20.25" customHeight="1">
      <c r="A43" s="758" t="s">
        <v>82</v>
      </c>
      <c r="B43" s="902" t="s">
        <v>84</v>
      </c>
      <c r="C43" s="906" t="s">
        <v>161</v>
      </c>
      <c r="D43" s="119" t="s">
        <v>207</v>
      </c>
      <c r="E43" s="34">
        <f aca="true" t="shared" si="4" ref="E43:J43">SUM(E44:E45)</f>
        <v>0</v>
      </c>
      <c r="F43" s="34">
        <f t="shared" si="4"/>
        <v>0</v>
      </c>
      <c r="G43" s="34">
        <f t="shared" si="4"/>
        <v>0</v>
      </c>
      <c r="H43" s="34">
        <f t="shared" si="4"/>
        <v>0</v>
      </c>
      <c r="I43" s="34">
        <f t="shared" si="4"/>
        <v>0</v>
      </c>
      <c r="J43" s="34">
        <f t="shared" si="4"/>
        <v>0</v>
      </c>
      <c r="K43" s="966" t="s">
        <v>258</v>
      </c>
      <c r="L43" s="206"/>
      <c r="M43" s="206"/>
      <c r="N43" s="206"/>
      <c r="O43" s="206"/>
      <c r="P43" s="206"/>
      <c r="Q43" s="199"/>
    </row>
    <row r="44" spans="1:17" ht="22.5" customHeight="1">
      <c r="A44" s="846"/>
      <c r="B44" s="962"/>
      <c r="C44" s="964"/>
      <c r="D44" s="186" t="s">
        <v>5</v>
      </c>
      <c r="E44" s="195">
        <f aca="true" t="shared" si="5" ref="E44:E51">SUM(F44:J44)</f>
        <v>0</v>
      </c>
      <c r="F44" s="180">
        <v>0</v>
      </c>
      <c r="G44" s="180">
        <v>0</v>
      </c>
      <c r="H44" s="180">
        <v>0</v>
      </c>
      <c r="I44" s="180">
        <v>0</v>
      </c>
      <c r="J44" s="180">
        <v>0</v>
      </c>
      <c r="K44" s="967"/>
      <c r="L44" s="206">
        <v>0</v>
      </c>
      <c r="M44" s="206">
        <v>0</v>
      </c>
      <c r="N44" s="206">
        <v>0</v>
      </c>
      <c r="O44" s="206">
        <v>0</v>
      </c>
      <c r="P44" s="206">
        <v>0</v>
      </c>
      <c r="Q44" s="115" t="s">
        <v>129</v>
      </c>
    </row>
    <row r="45" spans="1:17" ht="22.5" customHeight="1">
      <c r="A45" s="847"/>
      <c r="B45" s="963"/>
      <c r="C45" s="965"/>
      <c r="D45" s="183" t="s">
        <v>5</v>
      </c>
      <c r="E45" s="195">
        <f t="shared" si="5"/>
        <v>0</v>
      </c>
      <c r="F45" s="180">
        <v>0</v>
      </c>
      <c r="G45" s="180">
        <v>0</v>
      </c>
      <c r="H45" s="180">
        <v>0</v>
      </c>
      <c r="I45" s="180">
        <v>0</v>
      </c>
      <c r="J45" s="180">
        <v>0</v>
      </c>
      <c r="K45" s="968"/>
      <c r="L45" s="206">
        <v>0</v>
      </c>
      <c r="M45" s="206">
        <v>0</v>
      </c>
      <c r="N45" s="206">
        <v>0</v>
      </c>
      <c r="O45" s="206">
        <v>0</v>
      </c>
      <c r="P45" s="206">
        <v>0</v>
      </c>
      <c r="Q45" s="115" t="s">
        <v>130</v>
      </c>
    </row>
    <row r="46" spans="1:17" ht="22.5" customHeight="1">
      <c r="A46" s="758" t="s">
        <v>85</v>
      </c>
      <c r="B46" s="902" t="s">
        <v>86</v>
      </c>
      <c r="C46" s="906" t="s">
        <v>161</v>
      </c>
      <c r="D46" s="119" t="s">
        <v>207</v>
      </c>
      <c r="E46" s="198">
        <f aca="true" t="shared" si="6" ref="E46:J46">SUM(E47:E48)</f>
        <v>242.9</v>
      </c>
      <c r="F46" s="198">
        <f t="shared" si="6"/>
        <v>62.9</v>
      </c>
      <c r="G46" s="198">
        <f t="shared" si="6"/>
        <v>0</v>
      </c>
      <c r="H46" s="198">
        <f t="shared" si="6"/>
        <v>60</v>
      </c>
      <c r="I46" s="198">
        <f t="shared" si="6"/>
        <v>60</v>
      </c>
      <c r="J46" s="198">
        <f t="shared" si="6"/>
        <v>60</v>
      </c>
      <c r="K46" s="966" t="s">
        <v>258</v>
      </c>
      <c r="L46" s="206"/>
      <c r="M46" s="206"/>
      <c r="N46" s="206"/>
      <c r="O46" s="206"/>
      <c r="P46" s="206"/>
      <c r="Q46" s="115"/>
    </row>
    <row r="47" spans="1:17" ht="22.5" customHeight="1">
      <c r="A47" s="846"/>
      <c r="B47" s="962"/>
      <c r="C47" s="964"/>
      <c r="D47" s="186" t="s">
        <v>5</v>
      </c>
      <c r="E47" s="195">
        <f t="shared" si="5"/>
        <v>121.5</v>
      </c>
      <c r="F47" s="180">
        <v>31.5</v>
      </c>
      <c r="G47" s="184">
        <f>30-30</f>
        <v>0</v>
      </c>
      <c r="H47" s="184">
        <v>30</v>
      </c>
      <c r="I47" s="184">
        <v>30</v>
      </c>
      <c r="J47" s="184">
        <v>30</v>
      </c>
      <c r="K47" s="967"/>
      <c r="L47" s="206">
        <v>100</v>
      </c>
      <c r="M47" s="206">
        <v>0</v>
      </c>
      <c r="N47" s="206">
        <v>100</v>
      </c>
      <c r="O47" s="206">
        <v>100</v>
      </c>
      <c r="P47" s="206">
        <v>100</v>
      </c>
      <c r="Q47" s="115" t="s">
        <v>129</v>
      </c>
    </row>
    <row r="48" spans="1:17" ht="22.5" customHeight="1">
      <c r="A48" s="847"/>
      <c r="B48" s="963"/>
      <c r="C48" s="965"/>
      <c r="D48" s="183" t="s">
        <v>5</v>
      </c>
      <c r="E48" s="195">
        <f t="shared" si="5"/>
        <v>121.4</v>
      </c>
      <c r="F48" s="184">
        <v>31.4</v>
      </c>
      <c r="G48" s="184">
        <f>30-30</f>
        <v>0</v>
      </c>
      <c r="H48" s="184">
        <v>30</v>
      </c>
      <c r="I48" s="184">
        <v>30</v>
      </c>
      <c r="J48" s="184">
        <v>30</v>
      </c>
      <c r="K48" s="968"/>
      <c r="L48" s="206">
        <v>100</v>
      </c>
      <c r="M48" s="206">
        <v>0</v>
      </c>
      <c r="N48" s="206">
        <v>100</v>
      </c>
      <c r="O48" s="206">
        <v>100</v>
      </c>
      <c r="P48" s="206">
        <v>100</v>
      </c>
      <c r="Q48" s="115" t="s">
        <v>130</v>
      </c>
    </row>
    <row r="49" spans="1:17" ht="22.5" customHeight="1">
      <c r="A49" s="758" t="s">
        <v>138</v>
      </c>
      <c r="B49" s="902" t="s">
        <v>139</v>
      </c>
      <c r="C49" s="906" t="s">
        <v>161</v>
      </c>
      <c r="D49" s="119" t="s">
        <v>207</v>
      </c>
      <c r="E49" s="34">
        <f aca="true" t="shared" si="7" ref="E49:J49">SUM(E50:E51)</f>
        <v>1059</v>
      </c>
      <c r="F49" s="34">
        <f t="shared" si="7"/>
        <v>759</v>
      </c>
      <c r="G49" s="34">
        <f t="shared" si="7"/>
        <v>300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966" t="s">
        <v>258</v>
      </c>
      <c r="L49" s="206"/>
      <c r="M49" s="206"/>
      <c r="N49" s="206"/>
      <c r="O49" s="206"/>
      <c r="P49" s="206"/>
      <c r="Q49" s="115"/>
    </row>
    <row r="50" spans="1:17" ht="21.75" customHeight="1">
      <c r="A50" s="846"/>
      <c r="B50" s="962"/>
      <c r="C50" s="964"/>
      <c r="D50" s="183" t="s">
        <v>5</v>
      </c>
      <c r="E50" s="187">
        <f t="shared" si="5"/>
        <v>425</v>
      </c>
      <c r="F50" s="190">
        <v>325</v>
      </c>
      <c r="G50" s="190">
        <v>100</v>
      </c>
      <c r="H50" s="190">
        <v>0</v>
      </c>
      <c r="I50" s="190">
        <v>0</v>
      </c>
      <c r="J50" s="190">
        <v>0</v>
      </c>
      <c r="K50" s="967"/>
      <c r="L50" s="206">
        <v>100</v>
      </c>
      <c r="M50" s="206">
        <v>100</v>
      </c>
      <c r="N50" s="206">
        <v>0</v>
      </c>
      <c r="O50" s="206">
        <v>0</v>
      </c>
      <c r="P50" s="206">
        <v>0</v>
      </c>
      <c r="Q50" s="115" t="s">
        <v>129</v>
      </c>
    </row>
    <row r="51" spans="1:17" ht="21.75" customHeight="1">
      <c r="A51" s="847"/>
      <c r="B51" s="963"/>
      <c r="C51" s="965"/>
      <c r="D51" s="183" t="s">
        <v>5</v>
      </c>
      <c r="E51" s="187">
        <f t="shared" si="5"/>
        <v>634</v>
      </c>
      <c r="F51" s="190">
        <v>434</v>
      </c>
      <c r="G51" s="190">
        <v>200</v>
      </c>
      <c r="H51" s="190">
        <v>0</v>
      </c>
      <c r="I51" s="190">
        <v>0</v>
      </c>
      <c r="J51" s="190">
        <v>0</v>
      </c>
      <c r="K51" s="968"/>
      <c r="L51" s="206">
        <v>100</v>
      </c>
      <c r="M51" s="206">
        <v>100</v>
      </c>
      <c r="N51" s="206">
        <v>0</v>
      </c>
      <c r="O51" s="206">
        <v>0</v>
      </c>
      <c r="P51" s="206">
        <v>0</v>
      </c>
      <c r="Q51" s="115" t="s">
        <v>130</v>
      </c>
    </row>
    <row r="52" spans="1:17" ht="6.75" customHeight="1">
      <c r="A52" s="758" t="s">
        <v>64</v>
      </c>
      <c r="B52" s="902" t="s">
        <v>89</v>
      </c>
      <c r="C52" s="906" t="s">
        <v>161</v>
      </c>
      <c r="D52" s="969" t="s">
        <v>259</v>
      </c>
      <c r="E52" s="897">
        <v>920.1</v>
      </c>
      <c r="F52" s="897">
        <f>SUM(F58,F60,F63)</f>
        <v>260.8</v>
      </c>
      <c r="G52" s="897">
        <f>SUM(G55:G56)</f>
        <v>419.3</v>
      </c>
      <c r="H52" s="897">
        <f>SUM(H55:H56)</f>
        <v>80</v>
      </c>
      <c r="I52" s="897">
        <f>SUM(I55:I56)</f>
        <v>80</v>
      </c>
      <c r="J52" s="897">
        <f>SUM(J55:J56)</f>
        <v>80</v>
      </c>
      <c r="K52" s="948"/>
      <c r="L52" s="895"/>
      <c r="M52" s="895"/>
      <c r="N52" s="895"/>
      <c r="O52" s="895"/>
      <c r="P52" s="895"/>
      <c r="Q52" s="863"/>
    </row>
    <row r="53" spans="1:17" ht="6.75" customHeight="1">
      <c r="A53" s="784"/>
      <c r="B53" s="903"/>
      <c r="C53" s="731"/>
      <c r="D53" s="970"/>
      <c r="E53" s="898"/>
      <c r="F53" s="898"/>
      <c r="G53" s="898"/>
      <c r="H53" s="898"/>
      <c r="I53" s="898"/>
      <c r="J53" s="898"/>
      <c r="K53" s="960"/>
      <c r="L53" s="928"/>
      <c r="M53" s="928"/>
      <c r="N53" s="928"/>
      <c r="O53" s="928"/>
      <c r="P53" s="928"/>
      <c r="Q53" s="851"/>
    </row>
    <row r="54" spans="1:17" ht="6.75" customHeight="1">
      <c r="A54" s="784"/>
      <c r="B54" s="903"/>
      <c r="C54" s="731"/>
      <c r="D54" s="970"/>
      <c r="E54" s="899"/>
      <c r="F54" s="899"/>
      <c r="G54" s="899"/>
      <c r="H54" s="899"/>
      <c r="I54" s="899"/>
      <c r="J54" s="899"/>
      <c r="K54" s="960"/>
      <c r="L54" s="928"/>
      <c r="M54" s="928"/>
      <c r="N54" s="928"/>
      <c r="O54" s="928"/>
      <c r="P54" s="928"/>
      <c r="Q54" s="851"/>
    </row>
    <row r="55" spans="1:17" ht="17.25" customHeight="1">
      <c r="A55" s="784"/>
      <c r="B55" s="903"/>
      <c r="C55" s="731"/>
      <c r="D55" s="186" t="s">
        <v>5</v>
      </c>
      <c r="E55" s="189">
        <v>600.8</v>
      </c>
      <c r="F55" s="189">
        <f>F52</f>
        <v>260.8</v>
      </c>
      <c r="G55" s="189">
        <f>SUM(G58,G60,G63)</f>
        <v>100</v>
      </c>
      <c r="H55" s="189">
        <f>H60</f>
        <v>80</v>
      </c>
      <c r="I55" s="189">
        <f>I60</f>
        <v>80</v>
      </c>
      <c r="J55" s="189">
        <f>J60</f>
        <v>80</v>
      </c>
      <c r="K55" s="960"/>
      <c r="L55" s="928"/>
      <c r="M55" s="928"/>
      <c r="N55" s="928"/>
      <c r="O55" s="928"/>
      <c r="P55" s="928"/>
      <c r="Q55" s="851"/>
    </row>
    <row r="56" spans="1:17" ht="17.25" customHeight="1">
      <c r="A56" s="729"/>
      <c r="B56" s="905"/>
      <c r="C56" s="732"/>
      <c r="D56" s="184" t="s">
        <v>6</v>
      </c>
      <c r="E56" s="184">
        <f aca="true" t="shared" si="8" ref="E56:J56">E66</f>
        <v>319.3</v>
      </c>
      <c r="F56" s="184">
        <f t="shared" si="8"/>
        <v>0</v>
      </c>
      <c r="G56" s="184">
        <f t="shared" si="8"/>
        <v>319.3</v>
      </c>
      <c r="H56" s="184">
        <f t="shared" si="8"/>
        <v>0</v>
      </c>
      <c r="I56" s="184">
        <f t="shared" si="8"/>
        <v>0</v>
      </c>
      <c r="J56" s="184">
        <f t="shared" si="8"/>
        <v>0</v>
      </c>
      <c r="K56" s="961"/>
      <c r="L56" s="928"/>
      <c r="M56" s="928"/>
      <c r="N56" s="928"/>
      <c r="O56" s="928"/>
      <c r="P56" s="928"/>
      <c r="Q56" s="851"/>
    </row>
    <row r="57" spans="1:17" ht="24.75" customHeight="1">
      <c r="A57" s="758" t="s">
        <v>87</v>
      </c>
      <c r="B57" s="902" t="s">
        <v>84</v>
      </c>
      <c r="C57" s="906" t="s">
        <v>161</v>
      </c>
      <c r="D57" s="137" t="s">
        <v>207</v>
      </c>
      <c r="E57" s="182">
        <f aca="true" t="shared" si="9" ref="E57:J57">E58</f>
        <v>104.4</v>
      </c>
      <c r="F57" s="182">
        <f t="shared" si="9"/>
        <v>104.4</v>
      </c>
      <c r="G57" s="182">
        <f t="shared" si="9"/>
        <v>0</v>
      </c>
      <c r="H57" s="182">
        <f t="shared" si="9"/>
        <v>0</v>
      </c>
      <c r="I57" s="182">
        <f t="shared" si="9"/>
        <v>0</v>
      </c>
      <c r="J57" s="182">
        <f t="shared" si="9"/>
        <v>0</v>
      </c>
      <c r="K57" s="911" t="s">
        <v>261</v>
      </c>
      <c r="L57" s="895" t="s">
        <v>236</v>
      </c>
      <c r="M57" s="895" t="s">
        <v>213</v>
      </c>
      <c r="N57" s="895" t="s">
        <v>213</v>
      </c>
      <c r="O57" s="895" t="s">
        <v>213</v>
      </c>
      <c r="P57" s="895" t="s">
        <v>213</v>
      </c>
      <c r="Q57" s="953" t="s">
        <v>51</v>
      </c>
    </row>
    <row r="58" spans="1:17" ht="11.25" customHeight="1">
      <c r="A58" s="728"/>
      <c r="B58" s="904"/>
      <c r="C58" s="731"/>
      <c r="D58" s="945" t="s">
        <v>5</v>
      </c>
      <c r="E58" s="958">
        <f>SUM(F58:J59)</f>
        <v>104.4</v>
      </c>
      <c r="F58" s="959">
        <v>104.4</v>
      </c>
      <c r="G58" s="954">
        <v>0</v>
      </c>
      <c r="H58" s="954">
        <v>0</v>
      </c>
      <c r="I58" s="954">
        <v>0</v>
      </c>
      <c r="J58" s="954">
        <v>0</v>
      </c>
      <c r="K58" s="911"/>
      <c r="L58" s="928"/>
      <c r="M58" s="928"/>
      <c r="N58" s="928"/>
      <c r="O58" s="928"/>
      <c r="P58" s="928"/>
      <c r="Q58" s="896"/>
    </row>
    <row r="59" spans="1:17" ht="12.75" customHeight="1">
      <c r="A59" s="729"/>
      <c r="B59" s="905"/>
      <c r="C59" s="732"/>
      <c r="D59" s="957"/>
      <c r="E59" s="956"/>
      <c r="F59" s="931"/>
      <c r="G59" s="952"/>
      <c r="H59" s="952"/>
      <c r="I59" s="952"/>
      <c r="J59" s="952"/>
      <c r="K59" s="911"/>
      <c r="L59" s="928"/>
      <c r="M59" s="928"/>
      <c r="N59" s="928"/>
      <c r="O59" s="928"/>
      <c r="P59" s="928"/>
      <c r="Q59" s="896"/>
    </row>
    <row r="60" spans="1:17" ht="22.5" customHeight="1">
      <c r="A60" s="758" t="s">
        <v>88</v>
      </c>
      <c r="B60" s="902" t="s">
        <v>86</v>
      </c>
      <c r="C60" s="906" t="s">
        <v>161</v>
      </c>
      <c r="D60" s="119" t="s">
        <v>207</v>
      </c>
      <c r="E60" s="181">
        <f aca="true" t="shared" si="10" ref="E60:J60">E61</f>
        <v>332.8</v>
      </c>
      <c r="F60" s="181">
        <f t="shared" si="10"/>
        <v>92.8</v>
      </c>
      <c r="G60" s="181">
        <f t="shared" si="10"/>
        <v>0</v>
      </c>
      <c r="H60" s="181">
        <f t="shared" si="10"/>
        <v>80</v>
      </c>
      <c r="I60" s="181">
        <f t="shared" si="10"/>
        <v>80</v>
      </c>
      <c r="J60" s="181">
        <f t="shared" si="10"/>
        <v>80</v>
      </c>
      <c r="K60" s="911" t="s">
        <v>261</v>
      </c>
      <c r="L60" s="895" t="s">
        <v>236</v>
      </c>
      <c r="M60" s="895" t="s">
        <v>213</v>
      </c>
      <c r="N60" s="895" t="s">
        <v>236</v>
      </c>
      <c r="O60" s="895" t="s">
        <v>236</v>
      </c>
      <c r="P60" s="895" t="s">
        <v>236</v>
      </c>
      <c r="Q60" s="953" t="s">
        <v>51</v>
      </c>
    </row>
    <row r="61" spans="1:17" ht="12" customHeight="1">
      <c r="A61" s="728"/>
      <c r="B61" s="904"/>
      <c r="C61" s="731"/>
      <c r="D61" s="932" t="s">
        <v>5</v>
      </c>
      <c r="E61" s="955">
        <f>SUM(F61:J62)</f>
        <v>332.8</v>
      </c>
      <c r="F61" s="930">
        <v>92.8</v>
      </c>
      <c r="G61" s="951">
        <f>80-80</f>
        <v>0</v>
      </c>
      <c r="H61" s="951">
        <v>80</v>
      </c>
      <c r="I61" s="951">
        <v>80</v>
      </c>
      <c r="J61" s="951">
        <v>80</v>
      </c>
      <c r="K61" s="911"/>
      <c r="L61" s="928"/>
      <c r="M61" s="928"/>
      <c r="N61" s="928"/>
      <c r="O61" s="928"/>
      <c r="P61" s="928"/>
      <c r="Q61" s="896"/>
    </row>
    <row r="62" spans="1:17" ht="12.75" customHeight="1">
      <c r="A62" s="729"/>
      <c r="B62" s="905"/>
      <c r="C62" s="732"/>
      <c r="D62" s="932"/>
      <c r="E62" s="956"/>
      <c r="F62" s="931"/>
      <c r="G62" s="952"/>
      <c r="H62" s="952"/>
      <c r="I62" s="952"/>
      <c r="J62" s="952"/>
      <c r="K62" s="911"/>
      <c r="L62" s="928"/>
      <c r="M62" s="928"/>
      <c r="N62" s="928"/>
      <c r="O62" s="928"/>
      <c r="P62" s="928"/>
      <c r="Q62" s="896"/>
    </row>
    <row r="63" spans="1:17" ht="21" customHeight="1">
      <c r="A63" s="758" t="s">
        <v>140</v>
      </c>
      <c r="B63" s="902" t="s">
        <v>139</v>
      </c>
      <c r="C63" s="906" t="s">
        <v>161</v>
      </c>
      <c r="D63" s="119" t="s">
        <v>207</v>
      </c>
      <c r="E63" s="198">
        <f aca="true" t="shared" si="11" ref="E63:J63">E64</f>
        <v>163.6</v>
      </c>
      <c r="F63" s="198">
        <f t="shared" si="11"/>
        <v>63.6</v>
      </c>
      <c r="G63" s="198">
        <f>G64</f>
        <v>100</v>
      </c>
      <c r="H63" s="198">
        <f t="shared" si="11"/>
        <v>0</v>
      </c>
      <c r="I63" s="198">
        <f t="shared" si="11"/>
        <v>0</v>
      </c>
      <c r="J63" s="198">
        <f t="shared" si="11"/>
        <v>0</v>
      </c>
      <c r="K63" s="948" t="s">
        <v>261</v>
      </c>
      <c r="L63" s="949" t="s">
        <v>236</v>
      </c>
      <c r="M63" s="949" t="s">
        <v>236</v>
      </c>
      <c r="N63" s="949" t="s">
        <v>213</v>
      </c>
      <c r="O63" s="949" t="s">
        <v>213</v>
      </c>
      <c r="P63" s="949" t="s">
        <v>213</v>
      </c>
      <c r="Q63" s="758" t="s">
        <v>51</v>
      </c>
    </row>
    <row r="64" spans="1:17" ht="13.5" customHeight="1">
      <c r="A64" s="938"/>
      <c r="B64" s="938"/>
      <c r="C64" s="938"/>
      <c r="D64" s="191" t="s">
        <v>5</v>
      </c>
      <c r="E64" s="189">
        <f>SUM(F64:J64)</f>
        <v>163.6</v>
      </c>
      <c r="F64" s="192">
        <v>63.6</v>
      </c>
      <c r="G64" s="192">
        <v>100</v>
      </c>
      <c r="H64" s="192">
        <v>0</v>
      </c>
      <c r="I64" s="192">
        <v>0</v>
      </c>
      <c r="J64" s="192">
        <v>0</v>
      </c>
      <c r="K64" s="938"/>
      <c r="L64" s="938"/>
      <c r="M64" s="950"/>
      <c r="N64" s="938"/>
      <c r="O64" s="950"/>
      <c r="P64" s="950"/>
      <c r="Q64" s="938"/>
    </row>
    <row r="65" spans="1:17" ht="67.5" customHeight="1">
      <c r="A65" s="205" t="s">
        <v>292</v>
      </c>
      <c r="B65" s="140" t="s">
        <v>289</v>
      </c>
      <c r="C65" s="939" t="s">
        <v>161</v>
      </c>
      <c r="D65" s="139" t="s">
        <v>249</v>
      </c>
      <c r="E65" s="198">
        <f aca="true" t="shared" si="12" ref="E65:J65">E66+E67</f>
        <v>469.3</v>
      </c>
      <c r="F65" s="198">
        <f t="shared" si="12"/>
        <v>0</v>
      </c>
      <c r="G65" s="198">
        <f t="shared" si="12"/>
        <v>469.3</v>
      </c>
      <c r="H65" s="198">
        <f t="shared" si="12"/>
        <v>0</v>
      </c>
      <c r="I65" s="198">
        <f t="shared" si="12"/>
        <v>0</v>
      </c>
      <c r="J65" s="198">
        <f t="shared" si="12"/>
        <v>0</v>
      </c>
      <c r="K65" s="942" t="s">
        <v>291</v>
      </c>
      <c r="L65" s="945">
        <v>0</v>
      </c>
      <c r="M65" s="945">
        <v>100</v>
      </c>
      <c r="N65" s="945">
        <v>0</v>
      </c>
      <c r="O65" s="945">
        <v>0</v>
      </c>
      <c r="P65" s="945">
        <v>0</v>
      </c>
      <c r="Q65" s="945" t="s">
        <v>51</v>
      </c>
    </row>
    <row r="66" spans="1:17" ht="103.5" customHeight="1">
      <c r="A66" s="205" t="s">
        <v>293</v>
      </c>
      <c r="B66" s="200" t="s">
        <v>290</v>
      </c>
      <c r="C66" s="940"/>
      <c r="D66" s="186" t="s">
        <v>6</v>
      </c>
      <c r="E66" s="195">
        <f>F66+G66+H66+I66+J66</f>
        <v>319.3</v>
      </c>
      <c r="F66" s="195">
        <v>0</v>
      </c>
      <c r="G66" s="195">
        <v>319.3</v>
      </c>
      <c r="H66" s="195">
        <v>0</v>
      </c>
      <c r="I66" s="195">
        <v>0</v>
      </c>
      <c r="J66" s="195">
        <v>0</v>
      </c>
      <c r="K66" s="943"/>
      <c r="L66" s="946"/>
      <c r="M66" s="946"/>
      <c r="N66" s="946"/>
      <c r="O66" s="946"/>
      <c r="P66" s="946"/>
      <c r="Q66" s="946"/>
    </row>
    <row r="67" spans="1:18" ht="24" customHeight="1">
      <c r="A67" s="185" t="s">
        <v>294</v>
      </c>
      <c r="B67" s="200" t="s">
        <v>204</v>
      </c>
      <c r="C67" s="941"/>
      <c r="D67" s="186" t="s">
        <v>5</v>
      </c>
      <c r="E67" s="195">
        <f>F67+G67+H67+I67+J67</f>
        <v>150</v>
      </c>
      <c r="F67" s="195">
        <v>0</v>
      </c>
      <c r="G67" s="327">
        <v>150</v>
      </c>
      <c r="H67" s="195">
        <v>0</v>
      </c>
      <c r="I67" s="195">
        <v>0</v>
      </c>
      <c r="J67" s="195">
        <v>0</v>
      </c>
      <c r="K67" s="944"/>
      <c r="L67" s="947"/>
      <c r="M67" s="947"/>
      <c r="N67" s="947"/>
      <c r="O67" s="947"/>
      <c r="P67" s="947"/>
      <c r="Q67" s="947"/>
      <c r="R67" s="1">
        <v>150</v>
      </c>
    </row>
    <row r="68" spans="1:17" ht="6.75" customHeight="1">
      <c r="A68" s="758" t="s">
        <v>90</v>
      </c>
      <c r="B68" s="902" t="s">
        <v>92</v>
      </c>
      <c r="C68" s="906" t="s">
        <v>161</v>
      </c>
      <c r="D68" s="908" t="s">
        <v>224</v>
      </c>
      <c r="E68" s="935">
        <f>SUM(F68:J71)</f>
        <v>880.8</v>
      </c>
      <c r="F68" s="935">
        <f>SUM(F75,F78,F79)</f>
        <v>800.8</v>
      </c>
      <c r="G68" s="935">
        <f>SUM(G75,G78)</f>
        <v>20</v>
      </c>
      <c r="H68" s="935">
        <f>SUM(H75,H78)</f>
        <v>20</v>
      </c>
      <c r="I68" s="935">
        <f>SUM(I75,I78)</f>
        <v>20</v>
      </c>
      <c r="J68" s="935">
        <f>SUM(J75,J78)</f>
        <v>20</v>
      </c>
      <c r="K68" s="900"/>
      <c r="L68" s="895"/>
      <c r="M68" s="895"/>
      <c r="N68" s="895"/>
      <c r="O68" s="895"/>
      <c r="P68" s="895"/>
      <c r="Q68" s="863"/>
    </row>
    <row r="69" spans="1:17" ht="6.75" customHeight="1">
      <c r="A69" s="784"/>
      <c r="B69" s="903"/>
      <c r="C69" s="731"/>
      <c r="D69" s="909"/>
      <c r="E69" s="936"/>
      <c r="F69" s="936"/>
      <c r="G69" s="936"/>
      <c r="H69" s="936"/>
      <c r="I69" s="936"/>
      <c r="J69" s="936"/>
      <c r="K69" s="911"/>
      <c r="L69" s="928"/>
      <c r="M69" s="928"/>
      <c r="N69" s="928"/>
      <c r="O69" s="928"/>
      <c r="P69" s="928"/>
      <c r="Q69" s="851"/>
    </row>
    <row r="70" spans="1:17" ht="10.5" customHeight="1">
      <c r="A70" s="784"/>
      <c r="B70" s="903"/>
      <c r="C70" s="731"/>
      <c r="D70" s="909"/>
      <c r="E70" s="936"/>
      <c r="F70" s="936"/>
      <c r="G70" s="936"/>
      <c r="H70" s="936"/>
      <c r="I70" s="936"/>
      <c r="J70" s="936"/>
      <c r="K70" s="911"/>
      <c r="L70" s="928"/>
      <c r="M70" s="928"/>
      <c r="N70" s="928"/>
      <c r="O70" s="928"/>
      <c r="P70" s="928"/>
      <c r="Q70" s="851"/>
    </row>
    <row r="71" spans="1:17" ht="10.5" customHeight="1">
      <c r="A71" s="784"/>
      <c r="B71" s="903"/>
      <c r="C71" s="731"/>
      <c r="D71" s="910"/>
      <c r="E71" s="937"/>
      <c r="F71" s="937"/>
      <c r="G71" s="937"/>
      <c r="H71" s="937"/>
      <c r="I71" s="937"/>
      <c r="J71" s="937"/>
      <c r="K71" s="911"/>
      <c r="L71" s="928"/>
      <c r="M71" s="928"/>
      <c r="N71" s="928"/>
      <c r="O71" s="928"/>
      <c r="P71" s="928"/>
      <c r="Q71" s="851"/>
    </row>
    <row r="72" spans="1:17" ht="14.25" customHeight="1">
      <c r="A72" s="728"/>
      <c r="B72" s="904"/>
      <c r="C72" s="731"/>
      <c r="D72" s="186" t="s">
        <v>5</v>
      </c>
      <c r="E72" s="134">
        <f>F72+G72+H72+I72+J72</f>
        <v>611.8</v>
      </c>
      <c r="F72" s="134">
        <f>F75+F78</f>
        <v>531.8</v>
      </c>
      <c r="G72" s="134">
        <f>G68</f>
        <v>20</v>
      </c>
      <c r="H72" s="134">
        <f>H68</f>
        <v>20</v>
      </c>
      <c r="I72" s="134">
        <f>I68</f>
        <v>20</v>
      </c>
      <c r="J72" s="134">
        <f>J68</f>
        <v>20</v>
      </c>
      <c r="K72" s="911"/>
      <c r="L72" s="928"/>
      <c r="M72" s="928"/>
      <c r="N72" s="928"/>
      <c r="O72" s="928"/>
      <c r="P72" s="928"/>
      <c r="Q72" s="851"/>
    </row>
    <row r="73" spans="1:17" ht="12" customHeight="1">
      <c r="A73" s="729"/>
      <c r="B73" s="905"/>
      <c r="C73" s="732"/>
      <c r="D73" s="186" t="s">
        <v>6</v>
      </c>
      <c r="E73" s="134">
        <f aca="true" t="shared" si="13" ref="E73:J73">E79</f>
        <v>269</v>
      </c>
      <c r="F73" s="134">
        <f t="shared" si="13"/>
        <v>269</v>
      </c>
      <c r="G73" s="134">
        <f t="shared" si="13"/>
        <v>0</v>
      </c>
      <c r="H73" s="134">
        <f t="shared" si="13"/>
        <v>0</v>
      </c>
      <c r="I73" s="134">
        <f t="shared" si="13"/>
        <v>0</v>
      </c>
      <c r="J73" s="134">
        <f t="shared" si="13"/>
        <v>0</v>
      </c>
      <c r="K73" s="911"/>
      <c r="L73" s="928"/>
      <c r="M73" s="928"/>
      <c r="N73" s="928"/>
      <c r="O73" s="928"/>
      <c r="P73" s="928"/>
      <c r="Q73" s="851"/>
    </row>
    <row r="74" spans="1:17" ht="24" customHeight="1">
      <c r="A74" s="758" t="s">
        <v>91</v>
      </c>
      <c r="B74" s="902" t="s">
        <v>86</v>
      </c>
      <c r="C74" s="906" t="s">
        <v>161</v>
      </c>
      <c r="D74" s="137" t="s">
        <v>207</v>
      </c>
      <c r="E74" s="135">
        <f aca="true" t="shared" si="14" ref="E74:J74">E75</f>
        <v>158.8</v>
      </c>
      <c r="F74" s="135">
        <f t="shared" si="14"/>
        <v>78.8</v>
      </c>
      <c r="G74" s="135">
        <f t="shared" si="14"/>
        <v>20</v>
      </c>
      <c r="H74" s="135">
        <f t="shared" si="14"/>
        <v>20</v>
      </c>
      <c r="I74" s="135">
        <f t="shared" si="14"/>
        <v>20</v>
      </c>
      <c r="J74" s="135">
        <f t="shared" si="14"/>
        <v>20</v>
      </c>
      <c r="K74" s="900" t="s">
        <v>261</v>
      </c>
      <c r="L74" s="895" t="s">
        <v>236</v>
      </c>
      <c r="M74" s="895" t="s">
        <v>236</v>
      </c>
      <c r="N74" s="895" t="s">
        <v>236</v>
      </c>
      <c r="O74" s="895" t="s">
        <v>236</v>
      </c>
      <c r="P74" s="895" t="s">
        <v>236</v>
      </c>
      <c r="Q74" s="758" t="s">
        <v>142</v>
      </c>
    </row>
    <row r="75" spans="1:17" ht="13.5" customHeight="1">
      <c r="A75" s="728"/>
      <c r="B75" s="904"/>
      <c r="C75" s="907"/>
      <c r="D75" s="932" t="s">
        <v>5</v>
      </c>
      <c r="E75" s="933">
        <f>SUM(F75:J76)</f>
        <v>158.8</v>
      </c>
      <c r="F75" s="930">
        <f>118.8-40</f>
        <v>78.8</v>
      </c>
      <c r="G75" s="930">
        <v>20</v>
      </c>
      <c r="H75" s="930">
        <v>20</v>
      </c>
      <c r="I75" s="930">
        <v>20</v>
      </c>
      <c r="J75" s="930">
        <v>20</v>
      </c>
      <c r="K75" s="911"/>
      <c r="L75" s="928"/>
      <c r="M75" s="928"/>
      <c r="N75" s="928"/>
      <c r="O75" s="928"/>
      <c r="P75" s="928"/>
      <c r="Q75" s="784"/>
    </row>
    <row r="76" spans="1:17" ht="11.25" customHeight="1">
      <c r="A76" s="729"/>
      <c r="B76" s="905"/>
      <c r="C76" s="907"/>
      <c r="D76" s="932"/>
      <c r="E76" s="934"/>
      <c r="F76" s="931"/>
      <c r="G76" s="931"/>
      <c r="H76" s="931"/>
      <c r="I76" s="931"/>
      <c r="J76" s="931"/>
      <c r="K76" s="911"/>
      <c r="L76" s="928"/>
      <c r="M76" s="928"/>
      <c r="N76" s="928"/>
      <c r="O76" s="928"/>
      <c r="P76" s="928"/>
      <c r="Q76" s="929"/>
    </row>
    <row r="77" spans="1:17" ht="22.5" customHeight="1">
      <c r="A77" s="758" t="s">
        <v>141</v>
      </c>
      <c r="B77" s="902" t="s">
        <v>139</v>
      </c>
      <c r="C77" s="822" t="s">
        <v>260</v>
      </c>
      <c r="D77" s="119" t="s">
        <v>207</v>
      </c>
      <c r="E77" s="135">
        <f aca="true" t="shared" si="15" ref="E77:J77">E79+E78</f>
        <v>722</v>
      </c>
      <c r="F77" s="135">
        <f t="shared" si="15"/>
        <v>722</v>
      </c>
      <c r="G77" s="135">
        <f t="shared" si="15"/>
        <v>0</v>
      </c>
      <c r="H77" s="135">
        <f t="shared" si="15"/>
        <v>0</v>
      </c>
      <c r="I77" s="135">
        <f t="shared" si="15"/>
        <v>0</v>
      </c>
      <c r="J77" s="135">
        <f t="shared" si="15"/>
        <v>0</v>
      </c>
      <c r="K77" s="900" t="s">
        <v>261</v>
      </c>
      <c r="L77" s="895" t="s">
        <v>236</v>
      </c>
      <c r="M77" s="895" t="s">
        <v>213</v>
      </c>
      <c r="N77" s="895" t="s">
        <v>213</v>
      </c>
      <c r="O77" s="895" t="s">
        <v>213</v>
      </c>
      <c r="P77" s="895" t="s">
        <v>213</v>
      </c>
      <c r="Q77" s="758" t="s">
        <v>142</v>
      </c>
    </row>
    <row r="78" spans="1:17" ht="13.5" customHeight="1">
      <c r="A78" s="728"/>
      <c r="B78" s="904"/>
      <c r="C78" s="923"/>
      <c r="D78" s="186" t="s">
        <v>5</v>
      </c>
      <c r="E78" s="76">
        <f>SUM(F78:J78)</f>
        <v>453</v>
      </c>
      <c r="F78" s="202">
        <v>453</v>
      </c>
      <c r="G78" s="202">
        <v>0</v>
      </c>
      <c r="H78" s="202">
        <v>0</v>
      </c>
      <c r="I78" s="193">
        <v>0</v>
      </c>
      <c r="J78" s="193">
        <v>0</v>
      </c>
      <c r="K78" s="911"/>
      <c r="L78" s="928"/>
      <c r="M78" s="928"/>
      <c r="N78" s="928"/>
      <c r="O78" s="928"/>
      <c r="P78" s="928"/>
      <c r="Q78" s="784"/>
    </row>
    <row r="79" spans="1:17" ht="12" customHeight="1" thickBot="1">
      <c r="A79" s="729"/>
      <c r="B79" s="905"/>
      <c r="C79" s="923"/>
      <c r="D79" s="183" t="s">
        <v>6</v>
      </c>
      <c r="E79" s="203">
        <f>SUM(F79:J79)</f>
        <v>269</v>
      </c>
      <c r="F79" s="193">
        <v>269</v>
      </c>
      <c r="G79" s="193">
        <v>0</v>
      </c>
      <c r="H79" s="193">
        <v>0</v>
      </c>
      <c r="I79" s="193">
        <v>0</v>
      </c>
      <c r="J79" s="193">
        <v>0</v>
      </c>
      <c r="K79" s="911"/>
      <c r="L79" s="928"/>
      <c r="M79" s="928"/>
      <c r="N79" s="928"/>
      <c r="O79" s="928"/>
      <c r="P79" s="928"/>
      <c r="Q79" s="929"/>
    </row>
    <row r="80" spans="1:17" ht="18" customHeight="1">
      <c r="A80" s="822"/>
      <c r="B80" s="782" t="s">
        <v>48</v>
      </c>
      <c r="C80" s="816"/>
      <c r="D80" s="926" t="s">
        <v>207</v>
      </c>
      <c r="E80" s="916">
        <f aca="true" t="shared" si="16" ref="E80:J80">SUM(E82:E83)</f>
        <v>3252.8</v>
      </c>
      <c r="F80" s="916">
        <f t="shared" si="16"/>
        <v>1883.5</v>
      </c>
      <c r="G80" s="916">
        <f t="shared" si="16"/>
        <v>889.3</v>
      </c>
      <c r="H80" s="916">
        <f t="shared" si="16"/>
        <v>160</v>
      </c>
      <c r="I80" s="916">
        <f t="shared" si="16"/>
        <v>160</v>
      </c>
      <c r="J80" s="918">
        <f t="shared" si="16"/>
        <v>160</v>
      </c>
      <c r="K80" s="920"/>
      <c r="L80" s="911"/>
      <c r="M80" s="911"/>
      <c r="N80" s="911"/>
      <c r="O80" s="911"/>
      <c r="P80" s="911"/>
      <c r="Q80" s="911"/>
    </row>
    <row r="81" spans="1:17" ht="12.75" customHeight="1">
      <c r="A81" s="822"/>
      <c r="B81" s="782"/>
      <c r="C81" s="816"/>
      <c r="D81" s="927"/>
      <c r="E81" s="917"/>
      <c r="F81" s="917"/>
      <c r="G81" s="917"/>
      <c r="H81" s="917"/>
      <c r="I81" s="917"/>
      <c r="J81" s="919"/>
      <c r="K81" s="921"/>
      <c r="L81" s="911"/>
      <c r="M81" s="911"/>
      <c r="N81" s="911"/>
      <c r="O81" s="911"/>
      <c r="P81" s="911"/>
      <c r="Q81" s="911"/>
    </row>
    <row r="82" spans="1:17" ht="14.25" customHeight="1">
      <c r="A82" s="822"/>
      <c r="B82" s="782"/>
      <c r="C82" s="816"/>
      <c r="D82" s="38" t="s">
        <v>5</v>
      </c>
      <c r="E82" s="184">
        <f>SUM(F82:J82)</f>
        <v>2664.5</v>
      </c>
      <c r="F82" s="184">
        <f>SUM(F75,F78,F52,F39,F41)</f>
        <v>1614.5</v>
      </c>
      <c r="G82" s="184">
        <f>SUM(G68,G55,G39,G41,G67)</f>
        <v>570</v>
      </c>
      <c r="H82" s="184">
        <f>SUM(H68,H52,H39,H41)</f>
        <v>160</v>
      </c>
      <c r="I82" s="184">
        <f>SUM(I68,I52,I39,I41)</f>
        <v>160</v>
      </c>
      <c r="J82" s="43">
        <f>SUM(J68,J52,J39,J41)</f>
        <v>160</v>
      </c>
      <c r="K82" s="921"/>
      <c r="L82" s="911"/>
      <c r="M82" s="911"/>
      <c r="N82" s="911"/>
      <c r="O82" s="911"/>
      <c r="P82" s="911"/>
      <c r="Q82" s="911"/>
    </row>
    <row r="83" spans="1:17" ht="14.25" customHeight="1" thickBot="1">
      <c r="A83" s="923"/>
      <c r="B83" s="924"/>
      <c r="C83" s="925"/>
      <c r="D83" s="39" t="s">
        <v>6</v>
      </c>
      <c r="E83" s="44">
        <f>SUM(F83:J83)</f>
        <v>588.3</v>
      </c>
      <c r="F83" s="44">
        <f>F79</f>
        <v>269</v>
      </c>
      <c r="G83" s="44">
        <f>G79+G66</f>
        <v>319.3</v>
      </c>
      <c r="H83" s="44">
        <f>H79</f>
        <v>0</v>
      </c>
      <c r="I83" s="44">
        <f>I79</f>
        <v>0</v>
      </c>
      <c r="J83" s="45">
        <f>J79</f>
        <v>0</v>
      </c>
      <c r="K83" s="922"/>
      <c r="L83" s="901"/>
      <c r="M83" s="901"/>
      <c r="N83" s="901"/>
      <c r="O83" s="901"/>
      <c r="P83" s="901"/>
      <c r="Q83" s="901"/>
    </row>
    <row r="84" spans="1:17" ht="13.5" customHeight="1">
      <c r="A84" s="8" t="s">
        <v>38</v>
      </c>
      <c r="B84" s="912" t="s">
        <v>93</v>
      </c>
      <c r="C84" s="913"/>
      <c r="D84" s="914"/>
      <c r="E84" s="914"/>
      <c r="F84" s="914"/>
      <c r="G84" s="914"/>
      <c r="H84" s="914"/>
      <c r="I84" s="914"/>
      <c r="J84" s="914"/>
      <c r="K84" s="913"/>
      <c r="L84" s="913"/>
      <c r="M84" s="913"/>
      <c r="N84" s="913"/>
      <c r="O84" s="913"/>
      <c r="P84" s="913"/>
      <c r="Q84" s="915"/>
    </row>
    <row r="85" spans="1:17" ht="16.5" customHeight="1">
      <c r="A85" s="758" t="s">
        <v>39</v>
      </c>
      <c r="B85" s="902" t="s">
        <v>58</v>
      </c>
      <c r="C85" s="906" t="s">
        <v>161</v>
      </c>
      <c r="D85" s="908" t="s">
        <v>223</v>
      </c>
      <c r="E85" s="897">
        <f aca="true" t="shared" si="17" ref="E85:J85">SUM(E92:E94)</f>
        <v>363716.4000000001</v>
      </c>
      <c r="F85" s="897">
        <f t="shared" si="17"/>
        <v>75088</v>
      </c>
      <c r="G85" s="897">
        <f t="shared" si="17"/>
        <v>75143.5</v>
      </c>
      <c r="H85" s="897">
        <f t="shared" si="17"/>
        <v>67266.90000000001</v>
      </c>
      <c r="I85" s="897">
        <f t="shared" si="17"/>
        <v>73109</v>
      </c>
      <c r="J85" s="897">
        <f t="shared" si="17"/>
        <v>73109</v>
      </c>
      <c r="K85" s="900" t="s">
        <v>262</v>
      </c>
      <c r="L85" s="895" t="s">
        <v>236</v>
      </c>
      <c r="M85" s="895" t="s">
        <v>236</v>
      </c>
      <c r="N85" s="895" t="s">
        <v>236</v>
      </c>
      <c r="O85" s="895" t="s">
        <v>236</v>
      </c>
      <c r="P85" s="895" t="s">
        <v>236</v>
      </c>
      <c r="Q85" s="895" t="s">
        <v>99</v>
      </c>
    </row>
    <row r="86" spans="1:17" ht="13.5" customHeight="1">
      <c r="A86" s="784"/>
      <c r="B86" s="903"/>
      <c r="C86" s="907"/>
      <c r="D86" s="909"/>
      <c r="E86" s="898"/>
      <c r="F86" s="898"/>
      <c r="G86" s="898"/>
      <c r="H86" s="898"/>
      <c r="I86" s="898"/>
      <c r="J86" s="898"/>
      <c r="K86" s="900"/>
      <c r="L86" s="895"/>
      <c r="M86" s="895"/>
      <c r="N86" s="895"/>
      <c r="O86" s="895"/>
      <c r="P86" s="895"/>
      <c r="Q86" s="895"/>
    </row>
    <row r="87" spans="1:17" ht="9" customHeight="1" hidden="1">
      <c r="A87" s="784"/>
      <c r="B87" s="903"/>
      <c r="C87" s="907"/>
      <c r="D87" s="909"/>
      <c r="E87" s="898"/>
      <c r="F87" s="898"/>
      <c r="G87" s="898"/>
      <c r="H87" s="898"/>
      <c r="I87" s="898"/>
      <c r="J87" s="898"/>
      <c r="K87" s="900"/>
      <c r="L87" s="895"/>
      <c r="M87" s="895"/>
      <c r="N87" s="895"/>
      <c r="O87" s="895"/>
      <c r="P87" s="895"/>
      <c r="Q87" s="895"/>
    </row>
    <row r="88" spans="1:17" ht="16.5" customHeight="1">
      <c r="A88" s="784"/>
      <c r="B88" s="903"/>
      <c r="C88" s="907"/>
      <c r="D88" s="910"/>
      <c r="E88" s="899"/>
      <c r="F88" s="899"/>
      <c r="G88" s="899"/>
      <c r="H88" s="899"/>
      <c r="I88" s="899"/>
      <c r="J88" s="899"/>
      <c r="K88" s="900"/>
      <c r="L88" s="895"/>
      <c r="M88" s="895"/>
      <c r="N88" s="895"/>
      <c r="O88" s="895"/>
      <c r="P88" s="895"/>
      <c r="Q88" s="895"/>
    </row>
    <row r="89" spans="1:17" ht="13.5" customHeight="1">
      <c r="A89" s="728"/>
      <c r="B89" s="904"/>
      <c r="C89" s="731"/>
      <c r="D89" s="194" t="s">
        <v>5</v>
      </c>
      <c r="E89" s="188">
        <f aca="true" t="shared" si="18" ref="E89:J89">E91</f>
        <v>123551.70000000001</v>
      </c>
      <c r="F89" s="188">
        <f t="shared" si="18"/>
        <v>28491.4</v>
      </c>
      <c r="G89" s="188">
        <f t="shared" si="18"/>
        <v>26384</v>
      </c>
      <c r="H89" s="188">
        <f t="shared" si="18"/>
        <v>20892.1</v>
      </c>
      <c r="I89" s="188">
        <f t="shared" si="18"/>
        <v>23892.1</v>
      </c>
      <c r="J89" s="188">
        <f t="shared" si="18"/>
        <v>23892.1</v>
      </c>
      <c r="K89" s="901"/>
      <c r="L89" s="896"/>
      <c r="M89" s="896"/>
      <c r="N89" s="896"/>
      <c r="O89" s="896"/>
      <c r="P89" s="896"/>
      <c r="Q89" s="896"/>
    </row>
    <row r="90" spans="1:17" ht="13.5" customHeight="1">
      <c r="A90" s="729"/>
      <c r="B90" s="905"/>
      <c r="C90" s="732"/>
      <c r="D90" s="194" t="s">
        <v>6</v>
      </c>
      <c r="E90" s="188">
        <f aca="true" t="shared" si="19" ref="E90:J90">E93</f>
        <v>240164.70000000007</v>
      </c>
      <c r="F90" s="188">
        <f t="shared" si="19"/>
        <v>46596.6</v>
      </c>
      <c r="G90" s="188">
        <f t="shared" si="19"/>
        <v>48759.5</v>
      </c>
      <c r="H90" s="188">
        <f t="shared" si="19"/>
        <v>46374.80000000001</v>
      </c>
      <c r="I90" s="188">
        <f t="shared" si="19"/>
        <v>49216.90000000001</v>
      </c>
      <c r="J90" s="188">
        <f t="shared" si="19"/>
        <v>49216.90000000001</v>
      </c>
      <c r="K90" s="901"/>
      <c r="L90" s="896"/>
      <c r="M90" s="896"/>
      <c r="N90" s="896"/>
      <c r="O90" s="896"/>
      <c r="P90" s="896"/>
      <c r="Q90" s="896"/>
    </row>
    <row r="91" spans="1:17" ht="26.25" customHeight="1">
      <c r="A91" s="758" t="s">
        <v>94</v>
      </c>
      <c r="B91" s="737" t="s">
        <v>109</v>
      </c>
      <c r="C91" s="730" t="s">
        <v>161</v>
      </c>
      <c r="D91" s="285" t="s">
        <v>207</v>
      </c>
      <c r="E91" s="286">
        <f aca="true" t="shared" si="20" ref="E91:J91">E92</f>
        <v>123551.70000000001</v>
      </c>
      <c r="F91" s="286">
        <f t="shared" si="20"/>
        <v>28491.4</v>
      </c>
      <c r="G91" s="286">
        <f t="shared" si="20"/>
        <v>26384</v>
      </c>
      <c r="H91" s="286">
        <f t="shared" si="20"/>
        <v>20892.1</v>
      </c>
      <c r="I91" s="286">
        <f t="shared" si="20"/>
        <v>23892.1</v>
      </c>
      <c r="J91" s="286">
        <f t="shared" si="20"/>
        <v>23892.1</v>
      </c>
      <c r="K91" s="796" t="s">
        <v>263</v>
      </c>
      <c r="L91" s="745" t="s">
        <v>236</v>
      </c>
      <c r="M91" s="745" t="s">
        <v>236</v>
      </c>
      <c r="N91" s="745" t="s">
        <v>236</v>
      </c>
      <c r="O91" s="745" t="s">
        <v>236</v>
      </c>
      <c r="P91" s="745" t="s">
        <v>236</v>
      </c>
      <c r="Q91" s="742" t="s">
        <v>99</v>
      </c>
    </row>
    <row r="92" spans="1:17" ht="20.25" customHeight="1">
      <c r="A92" s="729"/>
      <c r="B92" s="833"/>
      <c r="C92" s="835"/>
      <c r="D92" s="287" t="s">
        <v>5</v>
      </c>
      <c r="E92" s="254">
        <f>SUM(F92:J92)</f>
        <v>123551.70000000001</v>
      </c>
      <c r="F92" s="288">
        <v>28491.4</v>
      </c>
      <c r="G92" s="288">
        <f>23892.1-1000-600+3810.3+312.7-31.1</f>
        <v>26384</v>
      </c>
      <c r="H92" s="288">
        <v>20892.1</v>
      </c>
      <c r="I92" s="288">
        <v>23892.1</v>
      </c>
      <c r="J92" s="288">
        <v>23892.1</v>
      </c>
      <c r="K92" s="880"/>
      <c r="L92" s="869"/>
      <c r="M92" s="869"/>
      <c r="N92" s="869"/>
      <c r="O92" s="869"/>
      <c r="P92" s="869"/>
      <c r="Q92" s="827"/>
    </row>
    <row r="93" spans="1:17" ht="25.5" customHeight="1">
      <c r="A93" s="758" t="s">
        <v>95</v>
      </c>
      <c r="B93" s="727" t="s">
        <v>100</v>
      </c>
      <c r="C93" s="730" t="s">
        <v>161</v>
      </c>
      <c r="D93" s="842" t="s">
        <v>220</v>
      </c>
      <c r="E93" s="874">
        <f>F93+G93+H93+I93+J93</f>
        <v>240164.70000000007</v>
      </c>
      <c r="F93" s="874">
        <f>F97+F102+F105+F108+F110</f>
        <v>46596.6</v>
      </c>
      <c r="G93" s="874">
        <f>G97+G102+G105+G108+G110</f>
        <v>48759.5</v>
      </c>
      <c r="H93" s="874">
        <f>H97+H102+H105+H108+H110</f>
        <v>46374.80000000001</v>
      </c>
      <c r="I93" s="874">
        <f>I97+I102+I105+I108+I110</f>
        <v>49216.90000000001</v>
      </c>
      <c r="J93" s="874">
        <f>J97+J102+J105+J108+J110</f>
        <v>49216.90000000001</v>
      </c>
      <c r="K93" s="894" t="s">
        <v>263</v>
      </c>
      <c r="L93" s="844">
        <v>100</v>
      </c>
      <c r="M93" s="844">
        <v>100</v>
      </c>
      <c r="N93" s="844">
        <v>100</v>
      </c>
      <c r="O93" s="844">
        <v>100</v>
      </c>
      <c r="P93" s="844">
        <v>100</v>
      </c>
      <c r="Q93" s="742" t="s">
        <v>99</v>
      </c>
    </row>
    <row r="94" spans="1:17" ht="6" customHeight="1">
      <c r="A94" s="784"/>
      <c r="B94" s="735"/>
      <c r="C94" s="740"/>
      <c r="D94" s="843"/>
      <c r="E94" s="827"/>
      <c r="F94" s="827"/>
      <c r="G94" s="827"/>
      <c r="H94" s="827"/>
      <c r="I94" s="827"/>
      <c r="J94" s="827"/>
      <c r="K94" s="840"/>
      <c r="L94" s="893"/>
      <c r="M94" s="893"/>
      <c r="N94" s="893"/>
      <c r="O94" s="893"/>
      <c r="P94" s="893"/>
      <c r="Q94" s="828"/>
    </row>
    <row r="95" spans="1:17" ht="15.75" customHeight="1">
      <c r="A95" s="729"/>
      <c r="B95" s="872"/>
      <c r="C95" s="835"/>
      <c r="D95" s="289" t="s">
        <v>6</v>
      </c>
      <c r="E95" s="213">
        <f aca="true" t="shared" si="21" ref="E95:J95">E93</f>
        <v>240164.70000000007</v>
      </c>
      <c r="F95" s="213">
        <f t="shared" si="21"/>
        <v>46596.6</v>
      </c>
      <c r="G95" s="213">
        <f t="shared" si="21"/>
        <v>48759.5</v>
      </c>
      <c r="H95" s="213">
        <f t="shared" si="21"/>
        <v>46374.80000000001</v>
      </c>
      <c r="I95" s="213">
        <f t="shared" si="21"/>
        <v>49216.90000000001</v>
      </c>
      <c r="J95" s="213">
        <f t="shared" si="21"/>
        <v>49216.90000000001</v>
      </c>
      <c r="K95" s="836"/>
      <c r="L95" s="827"/>
      <c r="M95" s="827"/>
      <c r="N95" s="827"/>
      <c r="O95" s="827"/>
      <c r="P95" s="827"/>
      <c r="Q95" s="827"/>
    </row>
    <row r="96" spans="1:17" ht="24.75" customHeight="1">
      <c r="A96" s="758" t="s">
        <v>101</v>
      </c>
      <c r="B96" s="737" t="s">
        <v>103</v>
      </c>
      <c r="C96" s="730" t="s">
        <v>161</v>
      </c>
      <c r="D96" s="290" t="s">
        <v>207</v>
      </c>
      <c r="E96" s="259">
        <f aca="true" t="shared" si="22" ref="E96:J96">E97</f>
        <v>8650.4</v>
      </c>
      <c r="F96" s="259">
        <f t="shared" si="22"/>
        <v>1840</v>
      </c>
      <c r="G96" s="259">
        <f t="shared" si="22"/>
        <v>1934</v>
      </c>
      <c r="H96" s="259">
        <f t="shared" si="22"/>
        <v>1550</v>
      </c>
      <c r="I96" s="259">
        <f t="shared" si="22"/>
        <v>1663.2</v>
      </c>
      <c r="J96" s="259">
        <f t="shared" si="22"/>
        <v>1663.2</v>
      </c>
      <c r="K96" s="749" t="s">
        <v>264</v>
      </c>
      <c r="L96" s="742" t="s">
        <v>236</v>
      </c>
      <c r="M96" s="742" t="s">
        <v>236</v>
      </c>
      <c r="N96" s="742" t="s">
        <v>236</v>
      </c>
      <c r="O96" s="742" t="s">
        <v>236</v>
      </c>
      <c r="P96" s="742" t="s">
        <v>236</v>
      </c>
      <c r="Q96" s="742" t="s">
        <v>99</v>
      </c>
    </row>
    <row r="97" spans="1:17" ht="19.5" customHeight="1">
      <c r="A97" s="728"/>
      <c r="B97" s="886"/>
      <c r="C97" s="891"/>
      <c r="D97" s="681" t="s">
        <v>6</v>
      </c>
      <c r="E97" s="830">
        <f>SUM(F97:J98)</f>
        <v>8650.4</v>
      </c>
      <c r="F97" s="830">
        <v>1840</v>
      </c>
      <c r="G97" s="830">
        <v>1934</v>
      </c>
      <c r="H97" s="830">
        <f>2100-550</f>
        <v>1550</v>
      </c>
      <c r="I97" s="830">
        <f>2200-536.8</f>
        <v>1663.2</v>
      </c>
      <c r="J97" s="830">
        <f>2200-536.8</f>
        <v>1663.2</v>
      </c>
      <c r="K97" s="840"/>
      <c r="L97" s="743"/>
      <c r="M97" s="743"/>
      <c r="N97" s="743"/>
      <c r="O97" s="743"/>
      <c r="P97" s="743"/>
      <c r="Q97" s="828"/>
    </row>
    <row r="98" spans="1:17" ht="26.25" customHeight="1">
      <c r="A98" s="728"/>
      <c r="B98" s="886"/>
      <c r="C98" s="891"/>
      <c r="D98" s="829"/>
      <c r="E98" s="831"/>
      <c r="F98" s="831"/>
      <c r="G98" s="831"/>
      <c r="H98" s="831"/>
      <c r="I98" s="831"/>
      <c r="J98" s="831"/>
      <c r="K98" s="840"/>
      <c r="L98" s="743"/>
      <c r="M98" s="743"/>
      <c r="N98" s="743"/>
      <c r="O98" s="743"/>
      <c r="P98" s="743"/>
      <c r="Q98" s="828"/>
    </row>
    <row r="99" spans="1:17" ht="6" customHeight="1">
      <c r="A99" s="728"/>
      <c r="B99" s="886"/>
      <c r="C99" s="891"/>
      <c r="D99" s="865"/>
      <c r="E99" s="828"/>
      <c r="F99" s="865"/>
      <c r="G99" s="865"/>
      <c r="H99" s="865"/>
      <c r="I99" s="828"/>
      <c r="J99" s="828"/>
      <c r="K99" s="840"/>
      <c r="L99" s="743"/>
      <c r="M99" s="743"/>
      <c r="N99" s="743"/>
      <c r="O99" s="743"/>
      <c r="P99" s="743"/>
      <c r="Q99" s="828"/>
    </row>
    <row r="100" spans="1:17" ht="12.75" customHeight="1">
      <c r="A100" s="729"/>
      <c r="B100" s="887"/>
      <c r="C100" s="892"/>
      <c r="D100" s="890"/>
      <c r="E100" s="827"/>
      <c r="F100" s="890"/>
      <c r="G100" s="890"/>
      <c r="H100" s="890"/>
      <c r="I100" s="827"/>
      <c r="J100" s="827"/>
      <c r="K100" s="836"/>
      <c r="L100" s="744"/>
      <c r="M100" s="744"/>
      <c r="N100" s="744"/>
      <c r="O100" s="744"/>
      <c r="P100" s="744"/>
      <c r="Q100" s="827"/>
    </row>
    <row r="101" spans="1:17" ht="26.25" customHeight="1">
      <c r="A101" s="758" t="s">
        <v>102</v>
      </c>
      <c r="B101" s="737" t="s">
        <v>61</v>
      </c>
      <c r="C101" s="730" t="s">
        <v>161</v>
      </c>
      <c r="D101" s="290" t="s">
        <v>207</v>
      </c>
      <c r="E101" s="230">
        <f aca="true" t="shared" si="23" ref="E101:J101">E102</f>
        <v>549.8</v>
      </c>
      <c r="F101" s="230">
        <f t="shared" si="23"/>
        <v>549.8</v>
      </c>
      <c r="G101" s="230">
        <f t="shared" si="23"/>
        <v>0</v>
      </c>
      <c r="H101" s="230">
        <f t="shared" si="23"/>
        <v>0</v>
      </c>
      <c r="I101" s="230">
        <f t="shared" si="23"/>
        <v>0</v>
      </c>
      <c r="J101" s="230">
        <f t="shared" si="23"/>
        <v>0</v>
      </c>
      <c r="K101" s="749" t="s">
        <v>263</v>
      </c>
      <c r="L101" s="742" t="s">
        <v>236</v>
      </c>
      <c r="M101" s="742" t="s">
        <v>213</v>
      </c>
      <c r="N101" s="742" t="s">
        <v>213</v>
      </c>
      <c r="O101" s="742" t="s">
        <v>213</v>
      </c>
      <c r="P101" s="742" t="s">
        <v>213</v>
      </c>
      <c r="Q101" s="291"/>
    </row>
    <row r="102" spans="1:17" ht="62.25" customHeight="1">
      <c r="A102" s="728"/>
      <c r="B102" s="886"/>
      <c r="C102" s="834"/>
      <c r="D102" s="292" t="s">
        <v>6</v>
      </c>
      <c r="E102" s="212">
        <f aca="true" t="shared" si="24" ref="E102:E111">SUM(F102:J102)</f>
        <v>549.8</v>
      </c>
      <c r="F102" s="212">
        <f>449.8+100</f>
        <v>549.8</v>
      </c>
      <c r="G102" s="212">
        <v>0</v>
      </c>
      <c r="H102" s="212">
        <v>0</v>
      </c>
      <c r="I102" s="212">
        <v>0</v>
      </c>
      <c r="J102" s="212">
        <v>0</v>
      </c>
      <c r="K102" s="840"/>
      <c r="L102" s="743"/>
      <c r="M102" s="743"/>
      <c r="N102" s="743"/>
      <c r="O102" s="743"/>
      <c r="P102" s="743"/>
      <c r="Q102" s="245" t="s">
        <v>206</v>
      </c>
    </row>
    <row r="103" spans="1:17" ht="51" customHeight="1" hidden="1">
      <c r="A103" s="729"/>
      <c r="B103" s="887"/>
      <c r="C103" s="835"/>
      <c r="D103" s="292" t="s">
        <v>6</v>
      </c>
      <c r="E103" s="212">
        <v>0</v>
      </c>
      <c r="F103" s="212">
        <v>0</v>
      </c>
      <c r="G103" s="212">
        <v>0</v>
      </c>
      <c r="H103" s="212">
        <v>0</v>
      </c>
      <c r="I103" s="212">
        <v>0</v>
      </c>
      <c r="J103" s="212">
        <v>0</v>
      </c>
      <c r="K103" s="836"/>
      <c r="L103" s="744"/>
      <c r="M103" s="744"/>
      <c r="N103" s="744"/>
      <c r="O103" s="744"/>
      <c r="P103" s="744"/>
      <c r="Q103" s="245"/>
    </row>
    <row r="104" spans="1:17" ht="28.5" customHeight="1">
      <c r="A104" s="888" t="s">
        <v>104</v>
      </c>
      <c r="B104" s="889" t="s">
        <v>66</v>
      </c>
      <c r="C104" s="730" t="s">
        <v>161</v>
      </c>
      <c r="D104" s="290" t="s">
        <v>207</v>
      </c>
      <c r="E104" s="255">
        <f aca="true" t="shared" si="25" ref="E104:J104">E105</f>
        <v>280.59999999999997</v>
      </c>
      <c r="F104" s="255">
        <f t="shared" si="25"/>
        <v>45.9</v>
      </c>
      <c r="G104" s="255">
        <f t="shared" si="25"/>
        <v>44</v>
      </c>
      <c r="H104" s="255">
        <f t="shared" si="25"/>
        <v>63.3</v>
      </c>
      <c r="I104" s="255">
        <f t="shared" si="25"/>
        <v>63.7</v>
      </c>
      <c r="J104" s="255">
        <f t="shared" si="25"/>
        <v>63.7</v>
      </c>
      <c r="K104" s="749" t="s">
        <v>263</v>
      </c>
      <c r="L104" s="742" t="s">
        <v>236</v>
      </c>
      <c r="M104" s="742" t="s">
        <v>236</v>
      </c>
      <c r="N104" s="742" t="s">
        <v>236</v>
      </c>
      <c r="O104" s="742" t="s">
        <v>236</v>
      </c>
      <c r="P104" s="742" t="s">
        <v>236</v>
      </c>
      <c r="Q104" s="727" t="s">
        <v>205</v>
      </c>
    </row>
    <row r="105" spans="1:17" ht="48.75" customHeight="1">
      <c r="A105" s="885"/>
      <c r="B105" s="887"/>
      <c r="C105" s="834"/>
      <c r="D105" s="287" t="s">
        <v>6</v>
      </c>
      <c r="E105" s="254">
        <f t="shared" si="24"/>
        <v>280.59999999999997</v>
      </c>
      <c r="F105" s="254">
        <v>45.9</v>
      </c>
      <c r="G105" s="254">
        <f>44.5-0.5</f>
        <v>44</v>
      </c>
      <c r="H105" s="254">
        <f>44.5+18.8</f>
        <v>63.3</v>
      </c>
      <c r="I105" s="254">
        <f>44.5+19.2</f>
        <v>63.7</v>
      </c>
      <c r="J105" s="254">
        <f>44.5+19.2</f>
        <v>63.7</v>
      </c>
      <c r="K105" s="836"/>
      <c r="L105" s="827"/>
      <c r="M105" s="827"/>
      <c r="N105" s="827"/>
      <c r="O105" s="827"/>
      <c r="P105" s="827"/>
      <c r="Q105" s="736"/>
    </row>
    <row r="106" spans="1:17" ht="36.75" customHeight="1" hidden="1">
      <c r="A106" s="81"/>
      <c r="B106" s="293"/>
      <c r="C106" s="835"/>
      <c r="D106" s="287" t="s">
        <v>6</v>
      </c>
      <c r="E106" s="254">
        <f t="shared" si="24"/>
        <v>0</v>
      </c>
      <c r="F106" s="254">
        <v>0</v>
      </c>
      <c r="G106" s="254">
        <v>0</v>
      </c>
      <c r="H106" s="254">
        <v>0</v>
      </c>
      <c r="I106" s="254">
        <v>0</v>
      </c>
      <c r="J106" s="254">
        <v>0</v>
      </c>
      <c r="K106" s="294"/>
      <c r="L106" s="295"/>
      <c r="M106" s="295"/>
      <c r="N106" s="295"/>
      <c r="O106" s="295"/>
      <c r="P106" s="295"/>
      <c r="Q106" s="252"/>
    </row>
    <row r="107" spans="1:17" ht="22.5" customHeight="1">
      <c r="A107" s="758" t="s">
        <v>105</v>
      </c>
      <c r="B107" s="737" t="s">
        <v>62</v>
      </c>
      <c r="C107" s="730" t="s">
        <v>161</v>
      </c>
      <c r="D107" s="290" t="s">
        <v>207</v>
      </c>
      <c r="E107" s="286">
        <f aca="true" t="shared" si="26" ref="E107:J107">E108</f>
        <v>219457.00000000003</v>
      </c>
      <c r="F107" s="286">
        <f t="shared" si="26"/>
        <v>42323.1</v>
      </c>
      <c r="G107" s="286">
        <f t="shared" si="26"/>
        <v>45022.3</v>
      </c>
      <c r="H107" s="286">
        <f t="shared" si="26"/>
        <v>42230.200000000004</v>
      </c>
      <c r="I107" s="286">
        <f t="shared" si="26"/>
        <v>44940.700000000004</v>
      </c>
      <c r="J107" s="286">
        <f t="shared" si="26"/>
        <v>44940.700000000004</v>
      </c>
      <c r="K107" s="749" t="s">
        <v>263</v>
      </c>
      <c r="L107" s="742" t="s">
        <v>236</v>
      </c>
      <c r="M107" s="742" t="s">
        <v>236</v>
      </c>
      <c r="N107" s="742" t="s">
        <v>236</v>
      </c>
      <c r="O107" s="742" t="s">
        <v>236</v>
      </c>
      <c r="P107" s="742" t="s">
        <v>236</v>
      </c>
      <c r="Q107" s="252"/>
    </row>
    <row r="108" spans="1:17" ht="39" customHeight="1">
      <c r="A108" s="885"/>
      <c r="B108" s="887"/>
      <c r="C108" s="835"/>
      <c r="D108" s="287" t="s">
        <v>6</v>
      </c>
      <c r="E108" s="296">
        <f t="shared" si="24"/>
        <v>219457.00000000003</v>
      </c>
      <c r="F108" s="296">
        <v>42323.1</v>
      </c>
      <c r="G108" s="296">
        <f>45016+6.3</f>
        <v>45022.3</v>
      </c>
      <c r="H108" s="296">
        <f>42805.3-575.1</f>
        <v>42230.200000000004</v>
      </c>
      <c r="I108" s="296">
        <f>45338.3-397.6</f>
        <v>44940.700000000004</v>
      </c>
      <c r="J108" s="296">
        <f>45338.3-397.6</f>
        <v>44940.700000000004</v>
      </c>
      <c r="K108" s="836"/>
      <c r="L108" s="744"/>
      <c r="M108" s="744"/>
      <c r="N108" s="744"/>
      <c r="O108" s="744"/>
      <c r="P108" s="744"/>
      <c r="Q108" s="252" t="s">
        <v>99</v>
      </c>
    </row>
    <row r="109" spans="1:17" ht="26.25" customHeight="1">
      <c r="A109" s="758" t="s">
        <v>106</v>
      </c>
      <c r="B109" s="737" t="s">
        <v>65</v>
      </c>
      <c r="C109" s="730" t="s">
        <v>42</v>
      </c>
      <c r="D109" s="290" t="s">
        <v>207</v>
      </c>
      <c r="E109" s="286">
        <f aca="true" t="shared" si="27" ref="E109:J109">E110</f>
        <v>11226.900000000001</v>
      </c>
      <c r="F109" s="286">
        <f t="shared" si="27"/>
        <v>1837.8</v>
      </c>
      <c r="G109" s="286">
        <f t="shared" si="27"/>
        <v>1759.1999999999998</v>
      </c>
      <c r="H109" s="286">
        <f t="shared" si="27"/>
        <v>2531.3</v>
      </c>
      <c r="I109" s="286">
        <f t="shared" si="27"/>
        <v>2549.3</v>
      </c>
      <c r="J109" s="286">
        <f t="shared" si="27"/>
        <v>2549.3</v>
      </c>
      <c r="K109" s="749" t="s">
        <v>263</v>
      </c>
      <c r="L109" s="742" t="s">
        <v>236</v>
      </c>
      <c r="M109" s="742" t="s">
        <v>236</v>
      </c>
      <c r="N109" s="742" t="s">
        <v>236</v>
      </c>
      <c r="O109" s="742" t="s">
        <v>236</v>
      </c>
      <c r="P109" s="742" t="s">
        <v>236</v>
      </c>
      <c r="Q109" s="252"/>
    </row>
    <row r="110" spans="1:17" ht="44.25" customHeight="1">
      <c r="A110" s="884"/>
      <c r="B110" s="886"/>
      <c r="C110" s="834"/>
      <c r="D110" s="287" t="s">
        <v>6</v>
      </c>
      <c r="E110" s="254">
        <f t="shared" si="24"/>
        <v>11226.900000000001</v>
      </c>
      <c r="F110" s="254">
        <v>1837.8</v>
      </c>
      <c r="G110" s="254">
        <f>1780.1-20.9</f>
        <v>1759.1999999999998</v>
      </c>
      <c r="H110" s="254">
        <f>1780.1+751.2</f>
        <v>2531.3</v>
      </c>
      <c r="I110" s="254">
        <f>1780.1+769.2</f>
        <v>2549.3</v>
      </c>
      <c r="J110" s="254">
        <f>1780.1+769.2</f>
        <v>2549.3</v>
      </c>
      <c r="K110" s="840"/>
      <c r="L110" s="837"/>
      <c r="M110" s="837"/>
      <c r="N110" s="837"/>
      <c r="O110" s="837"/>
      <c r="P110" s="837"/>
      <c r="Q110" s="252" t="s">
        <v>160</v>
      </c>
    </row>
    <row r="111" spans="1:17" ht="34.5" customHeight="1" hidden="1">
      <c r="A111" s="885"/>
      <c r="B111" s="887"/>
      <c r="C111" s="835"/>
      <c r="D111" s="297" t="s">
        <v>6</v>
      </c>
      <c r="E111" s="298">
        <f t="shared" si="24"/>
        <v>0</v>
      </c>
      <c r="F111" s="298">
        <v>0</v>
      </c>
      <c r="G111" s="298">
        <v>0</v>
      </c>
      <c r="H111" s="298">
        <v>0</v>
      </c>
      <c r="I111" s="298">
        <v>0</v>
      </c>
      <c r="J111" s="298">
        <v>0</v>
      </c>
      <c r="K111" s="836"/>
      <c r="L111" s="838"/>
      <c r="M111" s="838"/>
      <c r="N111" s="838"/>
      <c r="O111" s="838"/>
      <c r="P111" s="838"/>
      <c r="Q111" s="252"/>
    </row>
    <row r="112" spans="1:17" ht="30" customHeight="1">
      <c r="A112" s="758" t="s">
        <v>107</v>
      </c>
      <c r="B112" s="737" t="s">
        <v>59</v>
      </c>
      <c r="C112" s="730" t="s">
        <v>161</v>
      </c>
      <c r="D112" s="702" t="s">
        <v>216</v>
      </c>
      <c r="E112" s="874">
        <f aca="true" t="shared" si="28" ref="E112:J112">SUM(E119:E121)</f>
        <v>357710.1</v>
      </c>
      <c r="F112" s="874">
        <f t="shared" si="28"/>
        <v>70964.8</v>
      </c>
      <c r="G112" s="874">
        <f t="shared" si="28"/>
        <v>70737.59999999999</v>
      </c>
      <c r="H112" s="874">
        <f t="shared" si="28"/>
        <v>66929.1</v>
      </c>
      <c r="I112" s="874">
        <f t="shared" si="28"/>
        <v>74539.29999999999</v>
      </c>
      <c r="J112" s="874">
        <f t="shared" si="28"/>
        <v>74539.29999999999</v>
      </c>
      <c r="K112" s="749" t="s">
        <v>50</v>
      </c>
      <c r="L112" s="742" t="s">
        <v>266</v>
      </c>
      <c r="M112" s="742" t="s">
        <v>266</v>
      </c>
      <c r="N112" s="742" t="s">
        <v>266</v>
      </c>
      <c r="O112" s="742" t="s">
        <v>266</v>
      </c>
      <c r="P112" s="742" t="s">
        <v>266</v>
      </c>
      <c r="Q112" s="727" t="s">
        <v>51</v>
      </c>
    </row>
    <row r="113" spans="1:17" ht="5.25" customHeight="1">
      <c r="A113" s="784"/>
      <c r="B113" s="738"/>
      <c r="C113" s="740"/>
      <c r="D113" s="883"/>
      <c r="E113" s="875"/>
      <c r="F113" s="875"/>
      <c r="G113" s="875"/>
      <c r="H113" s="875"/>
      <c r="I113" s="875"/>
      <c r="J113" s="875"/>
      <c r="K113" s="750"/>
      <c r="L113" s="743"/>
      <c r="M113" s="743"/>
      <c r="N113" s="743"/>
      <c r="O113" s="743"/>
      <c r="P113" s="743"/>
      <c r="Q113" s="735"/>
    </row>
    <row r="114" spans="1:17" ht="15" customHeight="1">
      <c r="A114" s="784"/>
      <c r="B114" s="738"/>
      <c r="C114" s="740"/>
      <c r="D114" s="883"/>
      <c r="E114" s="875"/>
      <c r="F114" s="875"/>
      <c r="G114" s="875"/>
      <c r="H114" s="875"/>
      <c r="I114" s="875"/>
      <c r="J114" s="875"/>
      <c r="K114" s="750"/>
      <c r="L114" s="743"/>
      <c r="M114" s="743"/>
      <c r="N114" s="743"/>
      <c r="O114" s="743"/>
      <c r="P114" s="743"/>
      <c r="Q114" s="735"/>
    </row>
    <row r="115" spans="1:17" ht="4.5" customHeight="1">
      <c r="A115" s="784"/>
      <c r="B115" s="738"/>
      <c r="C115" s="740"/>
      <c r="D115" s="703"/>
      <c r="E115" s="882"/>
      <c r="F115" s="882"/>
      <c r="G115" s="882"/>
      <c r="H115" s="882"/>
      <c r="I115" s="882"/>
      <c r="J115" s="882"/>
      <c r="K115" s="750"/>
      <c r="L115" s="743"/>
      <c r="M115" s="743"/>
      <c r="N115" s="743"/>
      <c r="O115" s="743"/>
      <c r="P115" s="743"/>
      <c r="Q115" s="735"/>
    </row>
    <row r="116" spans="1:17" ht="15" customHeight="1">
      <c r="A116" s="728"/>
      <c r="B116" s="832"/>
      <c r="C116" s="834"/>
      <c r="D116" s="287" t="s">
        <v>5</v>
      </c>
      <c r="E116" s="254">
        <f aca="true" t="shared" si="29" ref="E116:J116">E118</f>
        <v>48435.8</v>
      </c>
      <c r="F116" s="254">
        <f t="shared" si="29"/>
        <v>11383.4</v>
      </c>
      <c r="G116" s="254">
        <f t="shared" si="29"/>
        <v>12616.800000000001</v>
      </c>
      <c r="H116" s="254">
        <f t="shared" si="29"/>
        <v>7145.2</v>
      </c>
      <c r="I116" s="254">
        <f t="shared" si="29"/>
        <v>8645.2</v>
      </c>
      <c r="J116" s="254">
        <f t="shared" si="29"/>
        <v>8645.2</v>
      </c>
      <c r="K116" s="840"/>
      <c r="L116" s="837"/>
      <c r="M116" s="837"/>
      <c r="N116" s="837"/>
      <c r="O116" s="837"/>
      <c r="P116" s="837"/>
      <c r="Q116" s="871"/>
    </row>
    <row r="117" spans="1:17" ht="15" customHeight="1">
      <c r="A117" s="729"/>
      <c r="B117" s="833"/>
      <c r="C117" s="835"/>
      <c r="D117" s="287" t="s">
        <v>6</v>
      </c>
      <c r="E117" s="254">
        <f aca="true" t="shared" si="30" ref="E117:J117">E121</f>
        <v>309274.3</v>
      </c>
      <c r="F117" s="254">
        <f t="shared" si="30"/>
        <v>59581.4</v>
      </c>
      <c r="G117" s="254">
        <f t="shared" si="30"/>
        <v>58120.799999999996</v>
      </c>
      <c r="H117" s="254">
        <f t="shared" si="30"/>
        <v>59783.9</v>
      </c>
      <c r="I117" s="254">
        <f t="shared" si="30"/>
        <v>65894.09999999999</v>
      </c>
      <c r="J117" s="254">
        <f t="shared" si="30"/>
        <v>65894.09999999999</v>
      </c>
      <c r="K117" s="836"/>
      <c r="L117" s="838"/>
      <c r="M117" s="838"/>
      <c r="N117" s="838"/>
      <c r="O117" s="838"/>
      <c r="P117" s="838"/>
      <c r="Q117" s="872"/>
    </row>
    <row r="118" spans="1:17" ht="21" customHeight="1">
      <c r="A118" s="758" t="s">
        <v>96</v>
      </c>
      <c r="B118" s="737" t="s">
        <v>110</v>
      </c>
      <c r="C118" s="730" t="s">
        <v>161</v>
      </c>
      <c r="D118" s="290" t="s">
        <v>222</v>
      </c>
      <c r="E118" s="255">
        <f aca="true" t="shared" si="31" ref="E118:J118">E119</f>
        <v>48435.8</v>
      </c>
      <c r="F118" s="255">
        <f t="shared" si="31"/>
        <v>11383.4</v>
      </c>
      <c r="G118" s="255">
        <f t="shared" si="31"/>
        <v>12616.800000000001</v>
      </c>
      <c r="H118" s="255">
        <f t="shared" si="31"/>
        <v>7145.2</v>
      </c>
      <c r="I118" s="255">
        <f t="shared" si="31"/>
        <v>8645.2</v>
      </c>
      <c r="J118" s="255">
        <f t="shared" si="31"/>
        <v>8645.2</v>
      </c>
      <c r="K118" s="749" t="s">
        <v>267</v>
      </c>
      <c r="L118" s="742" t="s">
        <v>236</v>
      </c>
      <c r="M118" s="742" t="s">
        <v>236</v>
      </c>
      <c r="N118" s="742" t="s">
        <v>236</v>
      </c>
      <c r="O118" s="742" t="s">
        <v>236</v>
      </c>
      <c r="P118" s="742" t="s">
        <v>236</v>
      </c>
      <c r="Q118" s="742" t="s">
        <v>51</v>
      </c>
    </row>
    <row r="119" spans="1:17" ht="14.25" customHeight="1">
      <c r="A119" s="728"/>
      <c r="B119" s="832"/>
      <c r="C119" s="834"/>
      <c r="D119" s="681" t="s">
        <v>5</v>
      </c>
      <c r="E119" s="830">
        <f>SUM(F119:J120)</f>
        <v>48435.8</v>
      </c>
      <c r="F119" s="830">
        <v>11383.4</v>
      </c>
      <c r="G119" s="830">
        <f>8645.2+80+3833.6-58+116</f>
        <v>12616.800000000001</v>
      </c>
      <c r="H119" s="830">
        <v>7145.2</v>
      </c>
      <c r="I119" s="830">
        <v>8645.2</v>
      </c>
      <c r="J119" s="830">
        <v>8645.2</v>
      </c>
      <c r="K119" s="840"/>
      <c r="L119" s="837"/>
      <c r="M119" s="837"/>
      <c r="N119" s="837"/>
      <c r="O119" s="837"/>
      <c r="P119" s="837"/>
      <c r="Q119" s="828"/>
    </row>
    <row r="120" spans="1:17" ht="14.25" customHeight="1">
      <c r="A120" s="729"/>
      <c r="B120" s="833"/>
      <c r="C120" s="835"/>
      <c r="D120" s="682"/>
      <c r="E120" s="839"/>
      <c r="F120" s="839"/>
      <c r="G120" s="839"/>
      <c r="H120" s="839"/>
      <c r="I120" s="839"/>
      <c r="J120" s="839"/>
      <c r="K120" s="836"/>
      <c r="L120" s="838"/>
      <c r="M120" s="838"/>
      <c r="N120" s="838"/>
      <c r="O120" s="838"/>
      <c r="P120" s="838"/>
      <c r="Q120" s="827"/>
    </row>
    <row r="121" spans="1:17" ht="24" customHeight="1">
      <c r="A121" s="758" t="s">
        <v>97</v>
      </c>
      <c r="B121" s="737" t="s">
        <v>108</v>
      </c>
      <c r="C121" s="730" t="s">
        <v>161</v>
      </c>
      <c r="D121" s="290" t="s">
        <v>265</v>
      </c>
      <c r="E121" s="299">
        <f>SUM(F121:J121)</f>
        <v>309274.3</v>
      </c>
      <c r="F121" s="299">
        <f>SUM(F123:F127)</f>
        <v>59581.4</v>
      </c>
      <c r="G121" s="299">
        <f>SUM(G123:G127)</f>
        <v>58120.799999999996</v>
      </c>
      <c r="H121" s="299">
        <f>SUM(H123:H127)</f>
        <v>59783.9</v>
      </c>
      <c r="I121" s="299">
        <f>SUM(I123:I127)</f>
        <v>65894.09999999999</v>
      </c>
      <c r="J121" s="299">
        <f>SUM(J123:J127)</f>
        <v>65894.09999999999</v>
      </c>
      <c r="K121" s="796"/>
      <c r="L121" s="881"/>
      <c r="M121" s="881"/>
      <c r="N121" s="881"/>
      <c r="O121" s="881"/>
      <c r="P121" s="881"/>
      <c r="Q121" s="742"/>
    </row>
    <row r="122" spans="1:17" ht="24" customHeight="1">
      <c r="A122" s="729"/>
      <c r="B122" s="833"/>
      <c r="C122" s="835"/>
      <c r="D122" s="292" t="s">
        <v>6</v>
      </c>
      <c r="E122" s="288">
        <f aca="true" t="shared" si="32" ref="E122:J122">SUM(E123:E127)</f>
        <v>309274.3</v>
      </c>
      <c r="F122" s="288">
        <f t="shared" si="32"/>
        <v>59581.4</v>
      </c>
      <c r="G122" s="288">
        <f t="shared" si="32"/>
        <v>58120.799999999996</v>
      </c>
      <c r="H122" s="288">
        <f t="shared" si="32"/>
        <v>59783.9</v>
      </c>
      <c r="I122" s="288">
        <f t="shared" si="32"/>
        <v>65894.09999999999</v>
      </c>
      <c r="J122" s="288">
        <f t="shared" si="32"/>
        <v>65894.09999999999</v>
      </c>
      <c r="K122" s="880"/>
      <c r="L122" s="869"/>
      <c r="M122" s="869"/>
      <c r="N122" s="869"/>
      <c r="O122" s="869"/>
      <c r="P122" s="869"/>
      <c r="Q122" s="827"/>
    </row>
    <row r="123" spans="1:17" ht="26.25" customHeight="1">
      <c r="A123" s="758" t="s">
        <v>112</v>
      </c>
      <c r="B123" s="737" t="s">
        <v>62</v>
      </c>
      <c r="C123" s="791" t="s">
        <v>161</v>
      </c>
      <c r="D123" s="681" t="s">
        <v>6</v>
      </c>
      <c r="E123" s="854">
        <f>SUM(F123:J124)</f>
        <v>307975.1</v>
      </c>
      <c r="F123" s="854">
        <f>62197.9-3100.2</f>
        <v>59097.700000000004</v>
      </c>
      <c r="G123" s="854">
        <f>60023.4-3252.3+1134.2</f>
        <v>57905.299999999996</v>
      </c>
      <c r="H123" s="854">
        <f>61960.9-2377</f>
        <v>59583.9</v>
      </c>
      <c r="I123" s="854">
        <f>66483.2-789.1</f>
        <v>65694.09999999999</v>
      </c>
      <c r="J123" s="854">
        <f>66483.2-789.1</f>
        <v>65694.09999999999</v>
      </c>
      <c r="K123" s="796" t="s">
        <v>263</v>
      </c>
      <c r="L123" s="745" t="s">
        <v>236</v>
      </c>
      <c r="M123" s="745" t="s">
        <v>236</v>
      </c>
      <c r="N123" s="745" t="s">
        <v>236</v>
      </c>
      <c r="O123" s="745" t="s">
        <v>236</v>
      </c>
      <c r="P123" s="745" t="s">
        <v>236</v>
      </c>
      <c r="Q123" s="742" t="s">
        <v>51</v>
      </c>
    </row>
    <row r="124" spans="1:17" ht="21" customHeight="1">
      <c r="A124" s="784"/>
      <c r="B124" s="738"/>
      <c r="C124" s="791"/>
      <c r="D124" s="829"/>
      <c r="E124" s="854"/>
      <c r="F124" s="854"/>
      <c r="G124" s="854"/>
      <c r="H124" s="854"/>
      <c r="I124" s="854"/>
      <c r="J124" s="854"/>
      <c r="K124" s="880"/>
      <c r="L124" s="879"/>
      <c r="M124" s="879"/>
      <c r="N124" s="879"/>
      <c r="O124" s="879"/>
      <c r="P124" s="879"/>
      <c r="Q124" s="743"/>
    </row>
    <row r="125" spans="1:17" ht="24.75" customHeight="1">
      <c r="A125" s="863" t="s">
        <v>111</v>
      </c>
      <c r="B125" s="752" t="s">
        <v>61</v>
      </c>
      <c r="C125" s="791" t="s">
        <v>161</v>
      </c>
      <c r="D125" s="681" t="s">
        <v>6</v>
      </c>
      <c r="E125" s="854">
        <f>SUM(F125:J126)</f>
        <v>483.7</v>
      </c>
      <c r="F125" s="854">
        <v>483.7</v>
      </c>
      <c r="G125" s="854">
        <v>0</v>
      </c>
      <c r="H125" s="854">
        <v>0</v>
      </c>
      <c r="I125" s="854">
        <v>0</v>
      </c>
      <c r="J125" s="854">
        <v>0</v>
      </c>
      <c r="K125" s="796" t="s">
        <v>263</v>
      </c>
      <c r="L125" s="745" t="s">
        <v>236</v>
      </c>
      <c r="M125" s="745" t="s">
        <v>213</v>
      </c>
      <c r="N125" s="745" t="s">
        <v>213</v>
      </c>
      <c r="O125" s="745" t="s">
        <v>213</v>
      </c>
      <c r="P125" s="745" t="s">
        <v>213</v>
      </c>
      <c r="Q125" s="745" t="s">
        <v>51</v>
      </c>
    </row>
    <row r="126" spans="1:17" ht="68.25" customHeight="1">
      <c r="A126" s="863"/>
      <c r="B126" s="752"/>
      <c r="C126" s="791"/>
      <c r="D126" s="682"/>
      <c r="E126" s="870"/>
      <c r="F126" s="870"/>
      <c r="G126" s="870"/>
      <c r="H126" s="870"/>
      <c r="I126" s="870"/>
      <c r="J126" s="870"/>
      <c r="K126" s="880"/>
      <c r="L126" s="879"/>
      <c r="M126" s="879"/>
      <c r="N126" s="879"/>
      <c r="O126" s="879"/>
      <c r="P126" s="879"/>
      <c r="Q126" s="745"/>
    </row>
    <row r="127" spans="1:17" ht="78.75" customHeight="1">
      <c r="A127" s="199" t="s">
        <v>271</v>
      </c>
      <c r="B127" s="300" t="s">
        <v>67</v>
      </c>
      <c r="C127" s="301" t="s">
        <v>272</v>
      </c>
      <c r="D127" s="289" t="s">
        <v>6</v>
      </c>
      <c r="E127" s="302">
        <f>F127+G127+H127+I127+J127</f>
        <v>815.5</v>
      </c>
      <c r="F127" s="302">
        <v>0</v>
      </c>
      <c r="G127" s="302">
        <v>215.5</v>
      </c>
      <c r="H127" s="302">
        <v>200</v>
      </c>
      <c r="I127" s="302">
        <v>200</v>
      </c>
      <c r="J127" s="302">
        <v>200</v>
      </c>
      <c r="K127" s="303" t="s">
        <v>264</v>
      </c>
      <c r="L127" s="304" t="s">
        <v>213</v>
      </c>
      <c r="M127" s="304" t="s">
        <v>236</v>
      </c>
      <c r="N127" s="304" t="s">
        <v>236</v>
      </c>
      <c r="O127" s="304" t="s">
        <v>236</v>
      </c>
      <c r="P127" s="304" t="s">
        <v>236</v>
      </c>
      <c r="Q127" s="305" t="s">
        <v>51</v>
      </c>
    </row>
    <row r="128" spans="1:17" ht="24" customHeight="1">
      <c r="A128" s="758" t="s">
        <v>113</v>
      </c>
      <c r="B128" s="737" t="s">
        <v>60</v>
      </c>
      <c r="C128" s="730" t="s">
        <v>161</v>
      </c>
      <c r="D128" s="842" t="s">
        <v>249</v>
      </c>
      <c r="E128" s="877">
        <f>SUM(F128:J130)</f>
        <v>56787.09999999999</v>
      </c>
      <c r="F128" s="874">
        <f>F131+F132</f>
        <v>13374.299999999997</v>
      </c>
      <c r="G128" s="874">
        <f>G131+G132</f>
        <v>12124.699999999999</v>
      </c>
      <c r="H128" s="874">
        <f>H131+H132</f>
        <v>9357.9</v>
      </c>
      <c r="I128" s="874">
        <f>I131+I132</f>
        <v>10965.099999999999</v>
      </c>
      <c r="J128" s="874">
        <f>J131+J132</f>
        <v>10965.099999999999</v>
      </c>
      <c r="K128" s="737" t="s">
        <v>268</v>
      </c>
      <c r="L128" s="866" t="s">
        <v>269</v>
      </c>
      <c r="M128" s="866" t="s">
        <v>269</v>
      </c>
      <c r="N128" s="866" t="s">
        <v>270</v>
      </c>
      <c r="O128" s="866" t="s">
        <v>270</v>
      </c>
      <c r="P128" s="866" t="s">
        <v>270</v>
      </c>
      <c r="Q128" s="727"/>
    </row>
    <row r="129" spans="1:17" ht="12" customHeight="1">
      <c r="A129" s="784"/>
      <c r="B129" s="738"/>
      <c r="C129" s="740"/>
      <c r="D129" s="876"/>
      <c r="E129" s="878"/>
      <c r="F129" s="875"/>
      <c r="G129" s="875"/>
      <c r="H129" s="875"/>
      <c r="I129" s="875"/>
      <c r="J129" s="875"/>
      <c r="K129" s="738"/>
      <c r="L129" s="867"/>
      <c r="M129" s="867"/>
      <c r="N129" s="867"/>
      <c r="O129" s="867"/>
      <c r="P129" s="867"/>
      <c r="Q129" s="735"/>
    </row>
    <row r="130" spans="1:17" ht="9.75" customHeight="1">
      <c r="A130" s="784"/>
      <c r="B130" s="738"/>
      <c r="C130" s="740"/>
      <c r="D130" s="843"/>
      <c r="E130" s="878"/>
      <c r="F130" s="875"/>
      <c r="G130" s="875"/>
      <c r="H130" s="875"/>
      <c r="I130" s="875"/>
      <c r="J130" s="875"/>
      <c r="K130" s="738"/>
      <c r="L130" s="867"/>
      <c r="M130" s="867"/>
      <c r="N130" s="867"/>
      <c r="O130" s="867"/>
      <c r="P130" s="867"/>
      <c r="Q130" s="735"/>
    </row>
    <row r="131" spans="1:17" ht="12.75" customHeight="1">
      <c r="A131" s="728"/>
      <c r="B131" s="832"/>
      <c r="C131" s="834"/>
      <c r="D131" s="287" t="s">
        <v>5</v>
      </c>
      <c r="E131" s="288">
        <f aca="true" t="shared" si="33" ref="E131:J131">E134</f>
        <v>49574.59999999999</v>
      </c>
      <c r="F131" s="288">
        <f t="shared" si="33"/>
        <v>11842.399999999998</v>
      </c>
      <c r="G131" s="288">
        <f t="shared" si="33"/>
        <v>10576.8</v>
      </c>
      <c r="H131" s="288">
        <f t="shared" si="33"/>
        <v>8051.8</v>
      </c>
      <c r="I131" s="288">
        <f t="shared" si="33"/>
        <v>9551.8</v>
      </c>
      <c r="J131" s="288">
        <f t="shared" si="33"/>
        <v>9551.8</v>
      </c>
      <c r="K131" s="832"/>
      <c r="L131" s="867"/>
      <c r="M131" s="867"/>
      <c r="N131" s="867"/>
      <c r="O131" s="867"/>
      <c r="P131" s="867"/>
      <c r="Q131" s="871"/>
    </row>
    <row r="132" spans="1:17" ht="12.75" customHeight="1">
      <c r="A132" s="729"/>
      <c r="B132" s="833"/>
      <c r="C132" s="835"/>
      <c r="D132" s="287" t="s">
        <v>6</v>
      </c>
      <c r="E132" s="288">
        <f aca="true" t="shared" si="34" ref="E132:J132">E137</f>
        <v>7212.5</v>
      </c>
      <c r="F132" s="288">
        <f t="shared" si="34"/>
        <v>1531.9</v>
      </c>
      <c r="G132" s="288">
        <f t="shared" si="34"/>
        <v>1547.9</v>
      </c>
      <c r="H132" s="288">
        <f t="shared" si="34"/>
        <v>1306.1</v>
      </c>
      <c r="I132" s="288">
        <f t="shared" si="34"/>
        <v>1413.3</v>
      </c>
      <c r="J132" s="288">
        <f t="shared" si="34"/>
        <v>1413.3</v>
      </c>
      <c r="K132" s="833"/>
      <c r="L132" s="868"/>
      <c r="M132" s="868"/>
      <c r="N132" s="868"/>
      <c r="O132" s="868"/>
      <c r="P132" s="868"/>
      <c r="Q132" s="872"/>
    </row>
    <row r="133" spans="1:17" ht="24" customHeight="1">
      <c r="A133" s="758" t="s">
        <v>98</v>
      </c>
      <c r="B133" s="737" t="s">
        <v>114</v>
      </c>
      <c r="C133" s="730" t="s">
        <v>161</v>
      </c>
      <c r="D133" s="290" t="s">
        <v>265</v>
      </c>
      <c r="E133" s="299">
        <f aca="true" t="shared" si="35" ref="E133:J133">E134</f>
        <v>49574.59999999999</v>
      </c>
      <c r="F133" s="299">
        <f t="shared" si="35"/>
        <v>11842.399999999998</v>
      </c>
      <c r="G133" s="299">
        <f t="shared" si="35"/>
        <v>10576.8</v>
      </c>
      <c r="H133" s="299">
        <f t="shared" si="35"/>
        <v>8051.8</v>
      </c>
      <c r="I133" s="299">
        <f t="shared" si="35"/>
        <v>9551.8</v>
      </c>
      <c r="J133" s="299">
        <f t="shared" si="35"/>
        <v>9551.8</v>
      </c>
      <c r="K133" s="796" t="s">
        <v>267</v>
      </c>
      <c r="L133" s="866" t="s">
        <v>236</v>
      </c>
      <c r="M133" s="866" t="s">
        <v>236</v>
      </c>
      <c r="N133" s="866" t="s">
        <v>236</v>
      </c>
      <c r="O133" s="866" t="s">
        <v>236</v>
      </c>
      <c r="P133" s="866" t="s">
        <v>236</v>
      </c>
      <c r="Q133" s="745" t="s">
        <v>142</v>
      </c>
    </row>
    <row r="134" spans="1:17" ht="9" customHeight="1">
      <c r="A134" s="728"/>
      <c r="B134" s="832"/>
      <c r="C134" s="834"/>
      <c r="D134" s="681" t="s">
        <v>5</v>
      </c>
      <c r="E134" s="854">
        <f>SUM(F134:J135)</f>
        <v>49574.59999999999</v>
      </c>
      <c r="F134" s="830">
        <f>10904.3-89.1-29.7+1056.9</f>
        <v>11842.399999999998</v>
      </c>
      <c r="G134" s="830">
        <f>9551.8+1105-80</f>
        <v>10576.8</v>
      </c>
      <c r="H134" s="830">
        <v>8051.8</v>
      </c>
      <c r="I134" s="830">
        <v>9551.8</v>
      </c>
      <c r="J134" s="830">
        <v>9551.8</v>
      </c>
      <c r="K134" s="873"/>
      <c r="L134" s="867"/>
      <c r="M134" s="867"/>
      <c r="N134" s="867"/>
      <c r="O134" s="867"/>
      <c r="P134" s="867"/>
      <c r="Q134" s="869"/>
    </row>
    <row r="135" spans="1:17" ht="5.25" customHeight="1">
      <c r="A135" s="729"/>
      <c r="B135" s="833"/>
      <c r="C135" s="835"/>
      <c r="D135" s="682"/>
      <c r="E135" s="870"/>
      <c r="F135" s="839"/>
      <c r="G135" s="839"/>
      <c r="H135" s="839"/>
      <c r="I135" s="839"/>
      <c r="J135" s="839"/>
      <c r="K135" s="873"/>
      <c r="L135" s="868"/>
      <c r="M135" s="868"/>
      <c r="N135" s="868"/>
      <c r="O135" s="868"/>
      <c r="P135" s="868"/>
      <c r="Q135" s="869"/>
    </row>
    <row r="136" spans="1:17" ht="25.5" customHeight="1">
      <c r="A136" s="863" t="s">
        <v>115</v>
      </c>
      <c r="B136" s="752" t="s">
        <v>67</v>
      </c>
      <c r="C136" s="730" t="s">
        <v>161</v>
      </c>
      <c r="D136" s="290" t="s">
        <v>265</v>
      </c>
      <c r="E136" s="306">
        <f aca="true" t="shared" si="36" ref="E136:J136">E137</f>
        <v>7212.5</v>
      </c>
      <c r="F136" s="306">
        <f t="shared" si="36"/>
        <v>1531.9</v>
      </c>
      <c r="G136" s="306">
        <f t="shared" si="36"/>
        <v>1547.9</v>
      </c>
      <c r="H136" s="306">
        <f t="shared" si="36"/>
        <v>1306.1</v>
      </c>
      <c r="I136" s="306">
        <f t="shared" si="36"/>
        <v>1413.3</v>
      </c>
      <c r="J136" s="306">
        <f t="shared" si="36"/>
        <v>1413.3</v>
      </c>
      <c r="K136" s="749" t="s">
        <v>264</v>
      </c>
      <c r="L136" s="742" t="s">
        <v>236</v>
      </c>
      <c r="M136" s="742" t="s">
        <v>236</v>
      </c>
      <c r="N136" s="742" t="s">
        <v>236</v>
      </c>
      <c r="O136" s="742" t="s">
        <v>236</v>
      </c>
      <c r="P136" s="742" t="s">
        <v>236</v>
      </c>
      <c r="Q136" s="742" t="s">
        <v>142</v>
      </c>
    </row>
    <row r="137" spans="1:17" ht="16.5" customHeight="1">
      <c r="A137" s="851"/>
      <c r="B137" s="864"/>
      <c r="C137" s="834"/>
      <c r="D137" s="681" t="s">
        <v>6</v>
      </c>
      <c r="E137" s="853">
        <f>SUM(F137:J140)</f>
        <v>7212.5</v>
      </c>
      <c r="F137" s="853">
        <v>1531.9</v>
      </c>
      <c r="G137" s="853">
        <v>1547.9</v>
      </c>
      <c r="H137" s="853">
        <f>1606.1-300</f>
        <v>1306.1</v>
      </c>
      <c r="I137" s="853">
        <f>1706.1-292.8</f>
        <v>1413.3</v>
      </c>
      <c r="J137" s="853">
        <f>1706.1-292.8</f>
        <v>1413.3</v>
      </c>
      <c r="K137" s="840"/>
      <c r="L137" s="861"/>
      <c r="M137" s="861"/>
      <c r="N137" s="861"/>
      <c r="O137" s="861"/>
      <c r="P137" s="861"/>
      <c r="Q137" s="828"/>
    </row>
    <row r="138" spans="1:17" ht="11.25" customHeight="1">
      <c r="A138" s="851"/>
      <c r="B138" s="864"/>
      <c r="C138" s="834"/>
      <c r="D138" s="865"/>
      <c r="E138" s="853"/>
      <c r="F138" s="853"/>
      <c r="G138" s="853"/>
      <c r="H138" s="853"/>
      <c r="I138" s="853"/>
      <c r="J138" s="853"/>
      <c r="K138" s="840"/>
      <c r="L138" s="861"/>
      <c r="M138" s="861"/>
      <c r="N138" s="861"/>
      <c r="O138" s="861"/>
      <c r="P138" s="861"/>
      <c r="Q138" s="828"/>
    </row>
    <row r="139" spans="1:17" ht="27.75" customHeight="1" thickBot="1">
      <c r="A139" s="851"/>
      <c r="B139" s="864"/>
      <c r="C139" s="834"/>
      <c r="D139" s="865"/>
      <c r="E139" s="853"/>
      <c r="F139" s="853"/>
      <c r="G139" s="853"/>
      <c r="H139" s="853"/>
      <c r="I139" s="853"/>
      <c r="J139" s="853"/>
      <c r="K139" s="840"/>
      <c r="L139" s="861"/>
      <c r="M139" s="861"/>
      <c r="N139" s="861"/>
      <c r="O139" s="861"/>
      <c r="P139" s="861"/>
      <c r="Q139" s="828"/>
    </row>
    <row r="140" spans="1:17" ht="12.75" customHeight="1" hidden="1">
      <c r="A140" s="851"/>
      <c r="B140" s="864"/>
      <c r="C140" s="834"/>
      <c r="D140" s="865"/>
      <c r="E140" s="830"/>
      <c r="F140" s="830"/>
      <c r="G140" s="830"/>
      <c r="H140" s="830"/>
      <c r="I140" s="830"/>
      <c r="J140" s="830"/>
      <c r="K140" s="836"/>
      <c r="L140" s="862"/>
      <c r="M140" s="862"/>
      <c r="N140" s="862"/>
      <c r="O140" s="862"/>
      <c r="P140" s="862"/>
      <c r="Q140" s="827"/>
    </row>
    <row r="141" spans="1:17" ht="12" customHeight="1">
      <c r="A141" s="822"/>
      <c r="B141" s="823" t="s">
        <v>49</v>
      </c>
      <c r="C141" s="791"/>
      <c r="D141" s="307" t="s">
        <v>11</v>
      </c>
      <c r="E141" s="810">
        <f aca="true" t="shared" si="37" ref="E141:J141">SUM(E143:E144)</f>
        <v>778213.6</v>
      </c>
      <c r="F141" s="810">
        <f t="shared" si="37"/>
        <v>159427.1</v>
      </c>
      <c r="G141" s="810">
        <f t="shared" si="37"/>
        <v>158005.8</v>
      </c>
      <c r="H141" s="810">
        <f t="shared" si="37"/>
        <v>143553.90000000002</v>
      </c>
      <c r="I141" s="810">
        <f t="shared" si="37"/>
        <v>158613.4</v>
      </c>
      <c r="J141" s="812">
        <f t="shared" si="37"/>
        <v>158613.4</v>
      </c>
      <c r="K141" s="814"/>
      <c r="L141" s="815"/>
      <c r="M141" s="815"/>
      <c r="N141" s="815"/>
      <c r="O141" s="815"/>
      <c r="P141" s="815"/>
      <c r="Q141" s="755"/>
    </row>
    <row r="142" spans="1:17" ht="12" customHeight="1">
      <c r="A142" s="822"/>
      <c r="B142" s="823"/>
      <c r="C142" s="791"/>
      <c r="D142" s="308" t="s">
        <v>12</v>
      </c>
      <c r="E142" s="811"/>
      <c r="F142" s="811"/>
      <c r="G142" s="811"/>
      <c r="H142" s="811"/>
      <c r="I142" s="811"/>
      <c r="J142" s="813"/>
      <c r="K142" s="814"/>
      <c r="L142" s="691"/>
      <c r="M142" s="691"/>
      <c r="N142" s="691"/>
      <c r="O142" s="691"/>
      <c r="P142" s="691"/>
      <c r="Q142" s="755"/>
    </row>
    <row r="143" spans="1:17" ht="12" customHeight="1">
      <c r="A143" s="822"/>
      <c r="B143" s="823"/>
      <c r="C143" s="791"/>
      <c r="D143" s="309" t="s">
        <v>5</v>
      </c>
      <c r="E143" s="288">
        <f>SUM(F143:J143)</f>
        <v>221562.1</v>
      </c>
      <c r="F143" s="288">
        <f>SUM(F134,F119,F92)</f>
        <v>51717.2</v>
      </c>
      <c r="G143" s="288">
        <f>SUM(G134,G119,G92)</f>
        <v>49577.6</v>
      </c>
      <c r="H143" s="288">
        <f>SUM(H134,H119,H92)</f>
        <v>36089.1</v>
      </c>
      <c r="I143" s="288">
        <f>SUM(I134,I119,I92)</f>
        <v>42089.1</v>
      </c>
      <c r="J143" s="310">
        <f>SUM(J134,J119,J92)</f>
        <v>42089.1</v>
      </c>
      <c r="K143" s="814"/>
      <c r="L143" s="691"/>
      <c r="M143" s="691"/>
      <c r="N143" s="691"/>
      <c r="O143" s="691"/>
      <c r="P143" s="691"/>
      <c r="Q143" s="755"/>
    </row>
    <row r="144" spans="1:17" ht="12" customHeight="1" thickBot="1">
      <c r="A144" s="822"/>
      <c r="B144" s="823"/>
      <c r="C144" s="791"/>
      <c r="D144" s="311" t="s">
        <v>6</v>
      </c>
      <c r="E144" s="312">
        <f>SUM(F144:J144)</f>
        <v>556651.5</v>
      </c>
      <c r="F144" s="312">
        <f>SUM(F137,F125,F123,F110,F108,F105,F102,F99,F97)</f>
        <v>107709.90000000001</v>
      </c>
      <c r="G144" s="312">
        <f>G117+G132+G90</f>
        <v>108428.2</v>
      </c>
      <c r="H144" s="312">
        <f>H117+H132+H90</f>
        <v>107464.80000000002</v>
      </c>
      <c r="I144" s="312">
        <f>I117+I132+I90</f>
        <v>116524.3</v>
      </c>
      <c r="J144" s="313">
        <f>J117+J132+J90</f>
        <v>116524.3</v>
      </c>
      <c r="K144" s="814"/>
      <c r="L144" s="691"/>
      <c r="M144" s="691"/>
      <c r="N144" s="691"/>
      <c r="O144" s="691"/>
      <c r="P144" s="691"/>
      <c r="Q144" s="755"/>
    </row>
    <row r="145" spans="1:17" ht="15" customHeight="1">
      <c r="A145" s="97" t="s">
        <v>116</v>
      </c>
      <c r="B145" s="855" t="s">
        <v>117</v>
      </c>
      <c r="C145" s="856"/>
      <c r="D145" s="856"/>
      <c r="E145" s="856"/>
      <c r="F145" s="856"/>
      <c r="G145" s="856"/>
      <c r="H145" s="856"/>
      <c r="I145" s="856"/>
      <c r="J145" s="856"/>
      <c r="K145" s="856"/>
      <c r="L145" s="856"/>
      <c r="M145" s="856"/>
      <c r="N145" s="856"/>
      <c r="O145" s="856"/>
      <c r="P145" s="856"/>
      <c r="Q145" s="857"/>
    </row>
    <row r="146" spans="1:17" ht="81.75" customHeight="1">
      <c r="A146" s="199" t="s">
        <v>118</v>
      </c>
      <c r="B146" s="300" t="s">
        <v>71</v>
      </c>
      <c r="C146" s="755" t="s">
        <v>161</v>
      </c>
      <c r="D146" s="290" t="s">
        <v>296</v>
      </c>
      <c r="E146" s="259">
        <f aca="true" t="shared" si="38" ref="E146:J146">SUM(E147:E149)</f>
        <v>1153.6</v>
      </c>
      <c r="F146" s="259">
        <f t="shared" si="38"/>
        <v>294.5</v>
      </c>
      <c r="G146" s="259">
        <f t="shared" si="38"/>
        <v>351.2</v>
      </c>
      <c r="H146" s="259">
        <f t="shared" si="38"/>
        <v>166.7</v>
      </c>
      <c r="I146" s="259">
        <f t="shared" si="38"/>
        <v>170.6</v>
      </c>
      <c r="J146" s="259">
        <f t="shared" si="38"/>
        <v>170.6</v>
      </c>
      <c r="K146" s="749" t="s">
        <v>273</v>
      </c>
      <c r="L146" s="314" t="s">
        <v>236</v>
      </c>
      <c r="M146" s="314" t="s">
        <v>236</v>
      </c>
      <c r="N146" s="314" t="s">
        <v>236</v>
      </c>
      <c r="O146" s="314" t="s">
        <v>236</v>
      </c>
      <c r="P146" s="314" t="s">
        <v>236</v>
      </c>
      <c r="Q146" s="742" t="s">
        <v>51</v>
      </c>
    </row>
    <row r="147" spans="1:17" ht="48" customHeight="1">
      <c r="A147" s="850" t="s">
        <v>287</v>
      </c>
      <c r="B147" s="852" t="s">
        <v>286</v>
      </c>
      <c r="C147" s="858"/>
      <c r="D147" s="691" t="s">
        <v>6</v>
      </c>
      <c r="E147" s="853">
        <f>SUM(F147:J148)</f>
        <v>742.6</v>
      </c>
      <c r="F147" s="854">
        <v>98.5</v>
      </c>
      <c r="G147" s="854">
        <f>136.6-0.4</f>
        <v>136.2</v>
      </c>
      <c r="H147" s="854">
        <f>130+36.7</f>
        <v>166.7</v>
      </c>
      <c r="I147" s="854">
        <f>118.5+52.1</f>
        <v>170.6</v>
      </c>
      <c r="J147" s="854">
        <f>118.5+52.1</f>
        <v>170.6</v>
      </c>
      <c r="K147" s="840"/>
      <c r="L147" s="844">
        <v>100</v>
      </c>
      <c r="M147" s="844">
        <v>100</v>
      </c>
      <c r="N147" s="844">
        <v>100</v>
      </c>
      <c r="O147" s="844">
        <v>100</v>
      </c>
      <c r="P147" s="844">
        <v>100</v>
      </c>
      <c r="Q147" s="859"/>
    </row>
    <row r="148" spans="1:17" ht="30.75" customHeight="1">
      <c r="A148" s="851"/>
      <c r="B148" s="833"/>
      <c r="C148" s="858"/>
      <c r="D148" s="691"/>
      <c r="E148" s="691"/>
      <c r="F148" s="854"/>
      <c r="G148" s="854"/>
      <c r="H148" s="854"/>
      <c r="I148" s="854"/>
      <c r="J148" s="854"/>
      <c r="K148" s="840"/>
      <c r="L148" s="845"/>
      <c r="M148" s="845"/>
      <c r="N148" s="845"/>
      <c r="O148" s="845"/>
      <c r="P148" s="845"/>
      <c r="Q148" s="859"/>
    </row>
    <row r="149" spans="1:17" ht="25.5" customHeight="1">
      <c r="A149" s="204" t="s">
        <v>288</v>
      </c>
      <c r="B149" s="300" t="s">
        <v>204</v>
      </c>
      <c r="C149" s="858"/>
      <c r="D149" s="287" t="s">
        <v>5</v>
      </c>
      <c r="E149" s="288">
        <f>F149+G149+H149+I149+J149</f>
        <v>411</v>
      </c>
      <c r="F149" s="288">
        <v>196</v>
      </c>
      <c r="G149" s="288">
        <v>215</v>
      </c>
      <c r="H149" s="288">
        <v>0</v>
      </c>
      <c r="I149" s="288">
        <v>0</v>
      </c>
      <c r="J149" s="288">
        <v>0</v>
      </c>
      <c r="K149" s="836"/>
      <c r="L149" s="253">
        <v>100</v>
      </c>
      <c r="M149" s="253">
        <v>100</v>
      </c>
      <c r="N149" s="253">
        <v>0</v>
      </c>
      <c r="O149" s="253">
        <v>0</v>
      </c>
      <c r="P149" s="253">
        <v>0</v>
      </c>
      <c r="Q149" s="860"/>
    </row>
    <row r="150" spans="1:17" ht="21" customHeight="1">
      <c r="A150" s="758" t="s">
        <v>119</v>
      </c>
      <c r="B150" s="737" t="s">
        <v>70</v>
      </c>
      <c r="C150" s="730" t="s">
        <v>161</v>
      </c>
      <c r="D150" s="290" t="s">
        <v>296</v>
      </c>
      <c r="E150" s="299">
        <f aca="true" t="shared" si="39" ref="E150:J150">SUM(E151:E152)</f>
        <v>12792.5</v>
      </c>
      <c r="F150" s="299">
        <f t="shared" si="39"/>
        <v>2294.7</v>
      </c>
      <c r="G150" s="299">
        <f t="shared" si="39"/>
        <v>2711</v>
      </c>
      <c r="H150" s="299">
        <f t="shared" si="39"/>
        <v>2595.6000000000004</v>
      </c>
      <c r="I150" s="299">
        <f t="shared" si="39"/>
        <v>2595.6000000000004</v>
      </c>
      <c r="J150" s="299">
        <f t="shared" si="39"/>
        <v>2595.6000000000004</v>
      </c>
      <c r="K150" s="749" t="s">
        <v>274</v>
      </c>
      <c r="L150" s="742" t="s">
        <v>275</v>
      </c>
      <c r="M150" s="742" t="s">
        <v>275</v>
      </c>
      <c r="N150" s="742" t="s">
        <v>275</v>
      </c>
      <c r="O150" s="742" t="s">
        <v>275</v>
      </c>
      <c r="P150" s="742" t="s">
        <v>275</v>
      </c>
      <c r="Q150" s="742" t="s">
        <v>51</v>
      </c>
    </row>
    <row r="151" spans="1:17" ht="15.75" customHeight="1">
      <c r="A151" s="846"/>
      <c r="B151" s="832"/>
      <c r="C151" s="848"/>
      <c r="D151" s="287" t="s">
        <v>5</v>
      </c>
      <c r="E151" s="254">
        <f>SUM(F151:J151)</f>
        <v>5399.3</v>
      </c>
      <c r="F151" s="254">
        <f>1250-18.7-196</f>
        <v>1035.3</v>
      </c>
      <c r="G151" s="254">
        <f>1000+364</f>
        <v>1364</v>
      </c>
      <c r="H151" s="254">
        <v>1000</v>
      </c>
      <c r="I151" s="254">
        <v>1000</v>
      </c>
      <c r="J151" s="254">
        <v>1000</v>
      </c>
      <c r="K151" s="840"/>
      <c r="L151" s="743"/>
      <c r="M151" s="743"/>
      <c r="N151" s="743"/>
      <c r="O151" s="743"/>
      <c r="P151" s="743"/>
      <c r="Q151" s="828"/>
    </row>
    <row r="152" spans="1:17" ht="21" customHeight="1">
      <c r="A152" s="847"/>
      <c r="B152" s="833"/>
      <c r="C152" s="849"/>
      <c r="D152" s="287" t="s">
        <v>6</v>
      </c>
      <c r="E152" s="254">
        <f>SUM(F152:J152)</f>
        <v>7393.200000000001</v>
      </c>
      <c r="F152" s="254">
        <v>1259.4</v>
      </c>
      <c r="G152" s="254">
        <f>1258.9+88.1</f>
        <v>1347</v>
      </c>
      <c r="H152" s="254">
        <f>1258.9+336.7</f>
        <v>1595.6000000000001</v>
      </c>
      <c r="I152" s="254">
        <f>1258.9+336.7</f>
        <v>1595.6000000000001</v>
      </c>
      <c r="J152" s="254">
        <f>1258.9+336.7</f>
        <v>1595.6000000000001</v>
      </c>
      <c r="K152" s="836"/>
      <c r="L152" s="744"/>
      <c r="M152" s="744"/>
      <c r="N152" s="744"/>
      <c r="O152" s="744"/>
      <c r="P152" s="744"/>
      <c r="Q152" s="827"/>
    </row>
    <row r="153" spans="1:17" ht="14.25" customHeight="1">
      <c r="A153" s="758" t="s">
        <v>120</v>
      </c>
      <c r="B153" s="737" t="s">
        <v>133</v>
      </c>
      <c r="C153" s="730" t="s">
        <v>161</v>
      </c>
      <c r="D153" s="842" t="s">
        <v>296</v>
      </c>
      <c r="E153" s="841">
        <f aca="true" t="shared" si="40" ref="E153:J153">SUM(E157,E163)</f>
        <v>715.4</v>
      </c>
      <c r="F153" s="841">
        <f t="shared" si="40"/>
        <v>607.4</v>
      </c>
      <c r="G153" s="841">
        <f t="shared" si="40"/>
        <v>27</v>
      </c>
      <c r="H153" s="841">
        <f t="shared" si="40"/>
        <v>27</v>
      </c>
      <c r="I153" s="841">
        <f t="shared" si="40"/>
        <v>27</v>
      </c>
      <c r="J153" s="841">
        <f t="shared" si="40"/>
        <v>27</v>
      </c>
      <c r="K153" s="749" t="s">
        <v>263</v>
      </c>
      <c r="L153" s="742" t="s">
        <v>236</v>
      </c>
      <c r="M153" s="742" t="s">
        <v>236</v>
      </c>
      <c r="N153" s="742" t="s">
        <v>236</v>
      </c>
      <c r="O153" s="742" t="s">
        <v>236</v>
      </c>
      <c r="P153" s="742" t="s">
        <v>236</v>
      </c>
      <c r="Q153" s="742" t="s">
        <v>51</v>
      </c>
    </row>
    <row r="154" spans="1:17" ht="11.25" customHeight="1">
      <c r="A154" s="784"/>
      <c r="B154" s="738"/>
      <c r="C154" s="740"/>
      <c r="D154" s="843"/>
      <c r="E154" s="841"/>
      <c r="F154" s="841"/>
      <c r="G154" s="841"/>
      <c r="H154" s="841"/>
      <c r="I154" s="841"/>
      <c r="J154" s="841"/>
      <c r="K154" s="750"/>
      <c r="L154" s="743"/>
      <c r="M154" s="743"/>
      <c r="N154" s="743"/>
      <c r="O154" s="743"/>
      <c r="P154" s="743"/>
      <c r="Q154" s="743"/>
    </row>
    <row r="155" spans="1:17" ht="11.25" customHeight="1">
      <c r="A155" s="729"/>
      <c r="B155" s="833"/>
      <c r="C155" s="835"/>
      <c r="D155" s="289" t="s">
        <v>5</v>
      </c>
      <c r="E155" s="254">
        <f aca="true" t="shared" si="41" ref="E155:J155">E153</f>
        <v>715.4</v>
      </c>
      <c r="F155" s="254">
        <f t="shared" si="41"/>
        <v>607.4</v>
      </c>
      <c r="G155" s="254">
        <f t="shared" si="41"/>
        <v>27</v>
      </c>
      <c r="H155" s="254">
        <f t="shared" si="41"/>
        <v>27</v>
      </c>
      <c r="I155" s="254">
        <f t="shared" si="41"/>
        <v>27</v>
      </c>
      <c r="J155" s="254">
        <f t="shared" si="41"/>
        <v>27</v>
      </c>
      <c r="K155" s="836"/>
      <c r="L155" s="744"/>
      <c r="M155" s="744"/>
      <c r="N155" s="744"/>
      <c r="O155" s="744"/>
      <c r="P155" s="744"/>
      <c r="Q155" s="827"/>
    </row>
    <row r="156" spans="1:17" ht="21" customHeight="1">
      <c r="A156" s="758" t="s">
        <v>121</v>
      </c>
      <c r="B156" s="737" t="s">
        <v>68</v>
      </c>
      <c r="C156" s="730" t="s">
        <v>161</v>
      </c>
      <c r="D156" s="290" t="s">
        <v>296</v>
      </c>
      <c r="E156" s="255">
        <f aca="true" t="shared" si="42" ref="E156:J156">E157</f>
        <v>542.4</v>
      </c>
      <c r="F156" s="255">
        <f t="shared" si="42"/>
        <v>542.4</v>
      </c>
      <c r="G156" s="255">
        <f t="shared" si="42"/>
        <v>0</v>
      </c>
      <c r="H156" s="255">
        <f t="shared" si="42"/>
        <v>0</v>
      </c>
      <c r="I156" s="255">
        <f t="shared" si="42"/>
        <v>0</v>
      </c>
      <c r="J156" s="255">
        <f t="shared" si="42"/>
        <v>0</v>
      </c>
      <c r="K156" s="749" t="s">
        <v>279</v>
      </c>
      <c r="L156" s="826" t="s">
        <v>276</v>
      </c>
      <c r="M156" s="826" t="s">
        <v>277</v>
      </c>
      <c r="N156" s="826" t="s">
        <v>278</v>
      </c>
      <c r="O156" s="826" t="s">
        <v>278</v>
      </c>
      <c r="P156" s="826" t="s">
        <v>278</v>
      </c>
      <c r="Q156" s="742" t="s">
        <v>51</v>
      </c>
    </row>
    <row r="157" spans="1:17" ht="21" customHeight="1">
      <c r="A157" s="728"/>
      <c r="B157" s="832"/>
      <c r="C157" s="834"/>
      <c r="D157" s="681" t="s">
        <v>5</v>
      </c>
      <c r="E157" s="830">
        <f>SUM(F157:H158)</f>
        <v>542.4</v>
      </c>
      <c r="F157" s="830">
        <f>250+292.4</f>
        <v>542.4</v>
      </c>
      <c r="G157" s="830">
        <v>0</v>
      </c>
      <c r="H157" s="830">
        <v>0</v>
      </c>
      <c r="I157" s="830">
        <v>0</v>
      </c>
      <c r="J157" s="830">
        <v>0</v>
      </c>
      <c r="K157" s="840"/>
      <c r="L157" s="743"/>
      <c r="M157" s="743"/>
      <c r="N157" s="743"/>
      <c r="O157" s="743"/>
      <c r="P157" s="743"/>
      <c r="Q157" s="828"/>
    </row>
    <row r="158" spans="1:17" ht="6.75" customHeight="1">
      <c r="A158" s="729"/>
      <c r="B158" s="833"/>
      <c r="C158" s="835"/>
      <c r="D158" s="682"/>
      <c r="E158" s="839"/>
      <c r="F158" s="839"/>
      <c r="G158" s="839"/>
      <c r="H158" s="839"/>
      <c r="I158" s="839"/>
      <c r="J158" s="839"/>
      <c r="K158" s="836"/>
      <c r="L158" s="744"/>
      <c r="M158" s="744"/>
      <c r="N158" s="744"/>
      <c r="O158" s="744"/>
      <c r="P158" s="744"/>
      <c r="Q158" s="827"/>
    </row>
    <row r="159" spans="1:17" ht="24" customHeight="1">
      <c r="A159" s="758" t="s">
        <v>122</v>
      </c>
      <c r="B159" s="737" t="s">
        <v>153</v>
      </c>
      <c r="C159" s="730" t="s">
        <v>161</v>
      </c>
      <c r="D159" s="290" t="s">
        <v>296</v>
      </c>
      <c r="E159" s="230">
        <f aca="true" t="shared" si="43" ref="E159:J159">E160</f>
        <v>0</v>
      </c>
      <c r="F159" s="230">
        <f t="shared" si="43"/>
        <v>0</v>
      </c>
      <c r="G159" s="230">
        <f t="shared" si="43"/>
        <v>0</v>
      </c>
      <c r="H159" s="230">
        <f t="shared" si="43"/>
        <v>0</v>
      </c>
      <c r="I159" s="230">
        <f t="shared" si="43"/>
        <v>0</v>
      </c>
      <c r="J159" s="230">
        <f t="shared" si="43"/>
        <v>0</v>
      </c>
      <c r="K159" s="749" t="s">
        <v>281</v>
      </c>
      <c r="L159" s="826" t="s">
        <v>280</v>
      </c>
      <c r="M159" s="826" t="s">
        <v>282</v>
      </c>
      <c r="N159" s="826" t="s">
        <v>283</v>
      </c>
      <c r="O159" s="826" t="s">
        <v>283</v>
      </c>
      <c r="P159" s="826" t="s">
        <v>283</v>
      </c>
      <c r="Q159" s="742" t="s">
        <v>51</v>
      </c>
    </row>
    <row r="160" spans="1:17" ht="17.25" customHeight="1">
      <c r="A160" s="728"/>
      <c r="B160" s="832"/>
      <c r="C160" s="834"/>
      <c r="D160" s="681" t="s">
        <v>5</v>
      </c>
      <c r="E160" s="830">
        <f>SUM(F160:H161)</f>
        <v>0</v>
      </c>
      <c r="F160" s="830">
        <f>20-20</f>
        <v>0</v>
      </c>
      <c r="G160" s="830">
        <v>0</v>
      </c>
      <c r="H160" s="830">
        <v>0</v>
      </c>
      <c r="I160" s="830">
        <v>0</v>
      </c>
      <c r="J160" s="830">
        <v>0</v>
      </c>
      <c r="K160" s="840"/>
      <c r="L160" s="837"/>
      <c r="M160" s="837"/>
      <c r="N160" s="837"/>
      <c r="O160" s="837"/>
      <c r="P160" s="837"/>
      <c r="Q160" s="828"/>
    </row>
    <row r="161" spans="1:17" ht="12" customHeight="1">
      <c r="A161" s="729"/>
      <c r="B161" s="833"/>
      <c r="C161" s="835"/>
      <c r="D161" s="682"/>
      <c r="E161" s="839"/>
      <c r="F161" s="839"/>
      <c r="G161" s="839"/>
      <c r="H161" s="839"/>
      <c r="I161" s="839"/>
      <c r="J161" s="839"/>
      <c r="K161" s="836"/>
      <c r="L161" s="838"/>
      <c r="M161" s="838"/>
      <c r="N161" s="838"/>
      <c r="O161" s="838"/>
      <c r="P161" s="838"/>
      <c r="Q161" s="827"/>
    </row>
    <row r="162" spans="1:17" ht="21.75" customHeight="1">
      <c r="A162" s="758" t="s">
        <v>123</v>
      </c>
      <c r="B162" s="737" t="s">
        <v>69</v>
      </c>
      <c r="C162" s="730" t="s">
        <v>161</v>
      </c>
      <c r="D162" s="290" t="s">
        <v>296</v>
      </c>
      <c r="E162" s="230">
        <f aca="true" t="shared" si="44" ref="E162:J162">E163</f>
        <v>173</v>
      </c>
      <c r="F162" s="230">
        <f t="shared" si="44"/>
        <v>65</v>
      </c>
      <c r="G162" s="230">
        <f t="shared" si="44"/>
        <v>27</v>
      </c>
      <c r="H162" s="230">
        <f t="shared" si="44"/>
        <v>27</v>
      </c>
      <c r="I162" s="230">
        <f t="shared" si="44"/>
        <v>27</v>
      </c>
      <c r="J162" s="230">
        <f t="shared" si="44"/>
        <v>27</v>
      </c>
      <c r="K162" s="749" t="s">
        <v>284</v>
      </c>
      <c r="L162" s="826" t="s">
        <v>236</v>
      </c>
      <c r="M162" s="826" t="s">
        <v>236</v>
      </c>
      <c r="N162" s="826" t="s">
        <v>236</v>
      </c>
      <c r="O162" s="826" t="s">
        <v>236</v>
      </c>
      <c r="P162" s="826" t="s">
        <v>236</v>
      </c>
      <c r="Q162" s="742" t="s">
        <v>51</v>
      </c>
    </row>
    <row r="163" spans="1:17" ht="21.75" customHeight="1">
      <c r="A163" s="728"/>
      <c r="B163" s="832"/>
      <c r="C163" s="834"/>
      <c r="D163" s="681" t="s">
        <v>5</v>
      </c>
      <c r="E163" s="830">
        <f>SUM(F163:J163)</f>
        <v>173</v>
      </c>
      <c r="F163" s="830">
        <v>65</v>
      </c>
      <c r="G163" s="830">
        <v>27</v>
      </c>
      <c r="H163" s="830">
        <v>27</v>
      </c>
      <c r="I163" s="830">
        <v>27</v>
      </c>
      <c r="J163" s="830">
        <v>27</v>
      </c>
      <c r="K163" s="836"/>
      <c r="L163" s="827"/>
      <c r="M163" s="827"/>
      <c r="N163" s="827"/>
      <c r="O163" s="827"/>
      <c r="P163" s="827"/>
      <c r="Q163" s="828"/>
    </row>
    <row r="164" spans="1:17" ht="23.25" customHeight="1" thickBot="1">
      <c r="A164" s="729"/>
      <c r="B164" s="833"/>
      <c r="C164" s="835"/>
      <c r="D164" s="829"/>
      <c r="E164" s="831"/>
      <c r="F164" s="831"/>
      <c r="G164" s="831"/>
      <c r="H164" s="831"/>
      <c r="I164" s="831"/>
      <c r="J164" s="831"/>
      <c r="K164" s="315" t="s">
        <v>285</v>
      </c>
      <c r="L164" s="314" t="s">
        <v>236</v>
      </c>
      <c r="M164" s="314" t="s">
        <v>236</v>
      </c>
      <c r="N164" s="314" t="s">
        <v>236</v>
      </c>
      <c r="O164" s="314" t="s">
        <v>236</v>
      </c>
      <c r="P164" s="314" t="s">
        <v>236</v>
      </c>
      <c r="Q164" s="827"/>
    </row>
    <row r="165" spans="1:17" ht="12" customHeight="1">
      <c r="A165" s="822"/>
      <c r="B165" s="823" t="s">
        <v>124</v>
      </c>
      <c r="C165" s="791"/>
      <c r="D165" s="307" t="s">
        <v>11</v>
      </c>
      <c r="E165" s="810">
        <f aca="true" t="shared" si="45" ref="E165:J165">SUM(E167:E168)</f>
        <v>14661.5</v>
      </c>
      <c r="F165" s="810">
        <f t="shared" si="45"/>
        <v>3196.6</v>
      </c>
      <c r="G165" s="810">
        <f t="shared" si="45"/>
        <v>3089.2</v>
      </c>
      <c r="H165" s="810">
        <f t="shared" si="45"/>
        <v>2789.3</v>
      </c>
      <c r="I165" s="810">
        <f t="shared" si="45"/>
        <v>2793.2</v>
      </c>
      <c r="J165" s="812">
        <f t="shared" si="45"/>
        <v>2793.2</v>
      </c>
      <c r="K165" s="819"/>
      <c r="L165" s="815"/>
      <c r="M165" s="815"/>
      <c r="N165" s="815"/>
      <c r="O165" s="815"/>
      <c r="P165" s="815"/>
      <c r="Q165" s="755"/>
    </row>
    <row r="166" spans="1:17" ht="12" customHeight="1">
      <c r="A166" s="822"/>
      <c r="B166" s="823"/>
      <c r="C166" s="791"/>
      <c r="D166" s="308" t="s">
        <v>297</v>
      </c>
      <c r="E166" s="811"/>
      <c r="F166" s="811"/>
      <c r="G166" s="811"/>
      <c r="H166" s="811"/>
      <c r="I166" s="811"/>
      <c r="J166" s="813"/>
      <c r="K166" s="820"/>
      <c r="L166" s="691"/>
      <c r="M166" s="691"/>
      <c r="N166" s="691"/>
      <c r="O166" s="691"/>
      <c r="P166" s="691"/>
      <c r="Q166" s="755"/>
    </row>
    <row r="167" spans="1:17" ht="12" customHeight="1">
      <c r="A167" s="822"/>
      <c r="B167" s="823"/>
      <c r="C167" s="791"/>
      <c r="D167" s="309" t="s">
        <v>5</v>
      </c>
      <c r="E167" s="288">
        <f>SUM(F167:J167)</f>
        <v>6525.7</v>
      </c>
      <c r="F167" s="288">
        <f>SUM(F153,F151,F149)</f>
        <v>1838.6999999999998</v>
      </c>
      <c r="G167" s="288">
        <f>SUM(G153,G151,G149)</f>
        <v>1606</v>
      </c>
      <c r="H167" s="288">
        <f>SUM(H153,H151,H149)</f>
        <v>1027</v>
      </c>
      <c r="I167" s="288">
        <f>SUM(I153,I151,I149)</f>
        <v>1027</v>
      </c>
      <c r="J167" s="310">
        <f>SUM(J153,J151,J149)</f>
        <v>1027</v>
      </c>
      <c r="K167" s="820"/>
      <c r="L167" s="691"/>
      <c r="M167" s="691"/>
      <c r="N167" s="691"/>
      <c r="O167" s="691"/>
      <c r="P167" s="691"/>
      <c r="Q167" s="755"/>
    </row>
    <row r="168" spans="1:17" ht="12" customHeight="1" thickBot="1">
      <c r="A168" s="822"/>
      <c r="B168" s="824"/>
      <c r="C168" s="825"/>
      <c r="D168" s="316" t="s">
        <v>6</v>
      </c>
      <c r="E168" s="302">
        <f>SUM(F168:J168)</f>
        <v>8135.8</v>
      </c>
      <c r="F168" s="302">
        <f>SUM(F147,F152)</f>
        <v>1357.9</v>
      </c>
      <c r="G168" s="302">
        <f>SUM(G147,G152)</f>
        <v>1483.2</v>
      </c>
      <c r="H168" s="302">
        <f>SUM(H147,H152)</f>
        <v>1762.3000000000002</v>
      </c>
      <c r="I168" s="302">
        <f>SUM(I147,I152)</f>
        <v>1766.2</v>
      </c>
      <c r="J168" s="317">
        <f>SUM(J147,J152)</f>
        <v>1766.2</v>
      </c>
      <c r="K168" s="821"/>
      <c r="L168" s="691"/>
      <c r="M168" s="691"/>
      <c r="N168" s="691"/>
      <c r="O168" s="691"/>
      <c r="P168" s="691"/>
      <c r="Q168" s="755"/>
    </row>
    <row r="169" spans="1:17" ht="15.75" customHeight="1">
      <c r="A169" s="816"/>
      <c r="B169" s="792" t="s">
        <v>13</v>
      </c>
      <c r="C169" s="791"/>
      <c r="D169" s="817" t="s">
        <v>296</v>
      </c>
      <c r="E169" s="808">
        <f aca="true" t="shared" si="46" ref="E169:J169">SUM(E171:E172)</f>
        <v>808286.4000000001</v>
      </c>
      <c r="F169" s="810">
        <f t="shared" si="46"/>
        <v>173578.2</v>
      </c>
      <c r="G169" s="808">
        <f>SUM(G171:G172)</f>
        <v>164366.8</v>
      </c>
      <c r="H169" s="810">
        <f t="shared" si="46"/>
        <v>146738.2</v>
      </c>
      <c r="I169" s="810">
        <f t="shared" si="46"/>
        <v>161801.6</v>
      </c>
      <c r="J169" s="812">
        <f t="shared" si="46"/>
        <v>161801.6</v>
      </c>
      <c r="K169" s="814"/>
      <c r="L169" s="691"/>
      <c r="M169" s="691"/>
      <c r="N169" s="691"/>
      <c r="O169" s="691"/>
      <c r="P169" s="691"/>
      <c r="Q169" s="755"/>
    </row>
    <row r="170" spans="1:17" ht="15.75" customHeight="1">
      <c r="A170" s="816"/>
      <c r="B170" s="792"/>
      <c r="C170" s="791"/>
      <c r="D170" s="818"/>
      <c r="E170" s="809"/>
      <c r="F170" s="811"/>
      <c r="G170" s="809"/>
      <c r="H170" s="811"/>
      <c r="I170" s="811"/>
      <c r="J170" s="813"/>
      <c r="K170" s="814"/>
      <c r="L170" s="691"/>
      <c r="M170" s="691"/>
      <c r="N170" s="691"/>
      <c r="O170" s="691"/>
      <c r="P170" s="691"/>
      <c r="Q170" s="755"/>
    </row>
    <row r="171" spans="1:17" ht="15.75" customHeight="1">
      <c r="A171" s="816"/>
      <c r="B171" s="792"/>
      <c r="C171" s="791"/>
      <c r="D171" s="308" t="s">
        <v>5</v>
      </c>
      <c r="E171" s="209">
        <f>SUM(F171:J171)</f>
        <v>242910.80000000002</v>
      </c>
      <c r="F171" s="299">
        <f>SUM(F167,F143,F82,F35,F25,F15)</f>
        <v>64241.399999999994</v>
      </c>
      <c r="G171" s="209">
        <f>SUM(G167,G143,G82,G35,G25,G15,)</f>
        <v>54136.1</v>
      </c>
      <c r="H171" s="299">
        <f>SUM(H167,H143,H82,H35,H25,H15)</f>
        <v>37511.1</v>
      </c>
      <c r="I171" s="299">
        <f>SUM(I167,I143,I82,I35,I25,I15)</f>
        <v>43511.1</v>
      </c>
      <c r="J171" s="318">
        <f>SUM(J167,J143,J82,J35,J25,J15)</f>
        <v>43511.1</v>
      </c>
      <c r="K171" s="814"/>
      <c r="L171" s="691"/>
      <c r="M171" s="691"/>
      <c r="N171" s="691"/>
      <c r="O171" s="691"/>
      <c r="P171" s="691"/>
      <c r="Q171" s="755"/>
    </row>
    <row r="172" spans="1:17" ht="15.75" customHeight="1" thickBot="1">
      <c r="A172" s="816"/>
      <c r="B172" s="792"/>
      <c r="C172" s="791"/>
      <c r="D172" s="319" t="s">
        <v>6</v>
      </c>
      <c r="E172" s="320">
        <f>SUM(F172:J172)</f>
        <v>565375.6000000001</v>
      </c>
      <c r="F172" s="320">
        <f>SUM(F168,F144,F83)</f>
        <v>109336.8</v>
      </c>
      <c r="G172" s="320">
        <f>SUM(G168,G144,G83)</f>
        <v>110230.7</v>
      </c>
      <c r="H172" s="320">
        <f>SUM(H168,H144)</f>
        <v>109227.10000000002</v>
      </c>
      <c r="I172" s="320">
        <f>SUM(I168,I144)</f>
        <v>118290.5</v>
      </c>
      <c r="J172" s="321">
        <f>SUM(J168,J144)</f>
        <v>118290.5</v>
      </c>
      <c r="K172" s="814"/>
      <c r="L172" s="691"/>
      <c r="M172" s="691"/>
      <c r="N172" s="691"/>
      <c r="O172" s="691"/>
      <c r="P172" s="691"/>
      <c r="Q172" s="755"/>
    </row>
    <row r="173" spans="2:17" ht="18.75" customHeight="1">
      <c r="B173" s="233"/>
      <c r="C173" s="322"/>
      <c r="D173" s="323"/>
      <c r="E173" s="323"/>
      <c r="F173" s="323"/>
      <c r="G173" s="323"/>
      <c r="H173" s="323"/>
      <c r="I173" s="323"/>
      <c r="J173" s="323"/>
      <c r="K173" s="324"/>
      <c r="L173" s="323"/>
      <c r="M173" s="323"/>
      <c r="N173" s="323"/>
      <c r="O173" s="323"/>
      <c r="P173" s="323"/>
      <c r="Q173" s="325"/>
    </row>
    <row r="174" spans="2:17" ht="18.75" customHeight="1">
      <c r="B174" s="233"/>
      <c r="C174" s="322"/>
      <c r="D174" s="323"/>
      <c r="E174" s="323"/>
      <c r="F174" s="323"/>
      <c r="G174" s="323"/>
      <c r="H174" s="323"/>
      <c r="I174" s="323"/>
      <c r="J174" s="323"/>
      <c r="K174" s="324"/>
      <c r="L174" s="323"/>
      <c r="M174" s="323"/>
      <c r="N174" s="323"/>
      <c r="O174" s="323"/>
      <c r="P174" s="323"/>
      <c r="Q174" s="325"/>
    </row>
    <row r="175" spans="2:17" ht="18.75" customHeight="1">
      <c r="B175" s="233"/>
      <c r="C175" s="322"/>
      <c r="D175" s="323"/>
      <c r="E175" s="323"/>
      <c r="F175" s="326"/>
      <c r="G175" s="323"/>
      <c r="H175" s="323"/>
      <c r="I175" s="323"/>
      <c r="J175" s="323"/>
      <c r="K175" s="324"/>
      <c r="L175" s="323"/>
      <c r="M175" s="323"/>
      <c r="N175" s="323"/>
      <c r="O175" s="323"/>
      <c r="P175" s="323"/>
      <c r="Q175" s="325"/>
    </row>
    <row r="176" spans="2:17" ht="18.75" customHeight="1">
      <c r="B176" s="233"/>
      <c r="C176" s="322"/>
      <c r="D176" s="323"/>
      <c r="E176" s="323"/>
      <c r="F176" s="326"/>
      <c r="G176" s="326"/>
      <c r="H176" s="323"/>
      <c r="I176" s="326"/>
      <c r="J176" s="323"/>
      <c r="K176" s="324"/>
      <c r="L176" s="323"/>
      <c r="M176" s="323"/>
      <c r="N176" s="323"/>
      <c r="O176" s="323"/>
      <c r="P176" s="323"/>
      <c r="Q176" s="325"/>
    </row>
  </sheetData>
  <sheetProtection/>
  <mergeCells count="674">
    <mergeCell ref="G1:Q1"/>
    <mergeCell ref="A3:Q3"/>
    <mergeCell ref="A5:A6"/>
    <mergeCell ref="B5:B6"/>
    <mergeCell ref="C5:C6"/>
    <mergeCell ref="D5:D6"/>
    <mergeCell ref="E5:J5"/>
    <mergeCell ref="K5:P5"/>
    <mergeCell ref="Q5:Q6"/>
    <mergeCell ref="K2:Q2"/>
    <mergeCell ref="B8:Q8"/>
    <mergeCell ref="B9:Q9"/>
    <mergeCell ref="A10:A12"/>
    <mergeCell ref="B10:B12"/>
    <mergeCell ref="C10:C12"/>
    <mergeCell ref="K10:K12"/>
    <mergeCell ref="L10:L12"/>
    <mergeCell ref="M10:M12"/>
    <mergeCell ref="N10:N12"/>
    <mergeCell ref="O10:O12"/>
    <mergeCell ref="P10:P12"/>
    <mergeCell ref="Q10:Q12"/>
    <mergeCell ref="D11:D12"/>
    <mergeCell ref="E11:E12"/>
    <mergeCell ref="F11:F12"/>
    <mergeCell ref="G11:G12"/>
    <mergeCell ref="H11:H12"/>
    <mergeCell ref="I11:I12"/>
    <mergeCell ref="J11:J12"/>
    <mergeCell ref="K13:K16"/>
    <mergeCell ref="L13:L16"/>
    <mergeCell ref="A13:A16"/>
    <mergeCell ref="B13:B16"/>
    <mergeCell ref="C13:C16"/>
    <mergeCell ref="D13:D14"/>
    <mergeCell ref="E13:E14"/>
    <mergeCell ref="F13:F14"/>
    <mergeCell ref="M13:M16"/>
    <mergeCell ref="N13:N16"/>
    <mergeCell ref="O13:O16"/>
    <mergeCell ref="P13:P16"/>
    <mergeCell ref="Q13:Q16"/>
    <mergeCell ref="B17:Q17"/>
    <mergeCell ref="G13:G14"/>
    <mergeCell ref="H13:H14"/>
    <mergeCell ref="I13:I14"/>
    <mergeCell ref="J13:J14"/>
    <mergeCell ref="A18:A22"/>
    <mergeCell ref="B18:B22"/>
    <mergeCell ref="C18:C22"/>
    <mergeCell ref="K18:K22"/>
    <mergeCell ref="L18:L22"/>
    <mergeCell ref="M18:M22"/>
    <mergeCell ref="J19:J20"/>
    <mergeCell ref="D21:D22"/>
    <mergeCell ref="E21:E22"/>
    <mergeCell ref="F21:F22"/>
    <mergeCell ref="N18:N22"/>
    <mergeCell ref="O18:O22"/>
    <mergeCell ref="P18:P22"/>
    <mergeCell ref="Q18:Q22"/>
    <mergeCell ref="D19:D20"/>
    <mergeCell ref="E19:E20"/>
    <mergeCell ref="F19:F20"/>
    <mergeCell ref="G19:G20"/>
    <mergeCell ref="H19:H20"/>
    <mergeCell ref="I19:I20"/>
    <mergeCell ref="A23:A26"/>
    <mergeCell ref="B23:B26"/>
    <mergeCell ref="C23:C26"/>
    <mergeCell ref="D23:D24"/>
    <mergeCell ref="E23:E24"/>
    <mergeCell ref="F23:F24"/>
    <mergeCell ref="K23:K26"/>
    <mergeCell ref="L23:L26"/>
    <mergeCell ref="G21:G22"/>
    <mergeCell ref="H21:H22"/>
    <mergeCell ref="I21:I22"/>
    <mergeCell ref="J21:J22"/>
    <mergeCell ref="M23:M26"/>
    <mergeCell ref="N23:N26"/>
    <mergeCell ref="O23:O26"/>
    <mergeCell ref="P23:P26"/>
    <mergeCell ref="Q23:Q26"/>
    <mergeCell ref="B27:Q27"/>
    <mergeCell ref="G23:G24"/>
    <mergeCell ref="H23:H24"/>
    <mergeCell ref="I23:I24"/>
    <mergeCell ref="J23:J24"/>
    <mergeCell ref="A28:A32"/>
    <mergeCell ref="B28:B32"/>
    <mergeCell ref="C28:C32"/>
    <mergeCell ref="K28:K30"/>
    <mergeCell ref="L28:L30"/>
    <mergeCell ref="M28:M30"/>
    <mergeCell ref="J29:J32"/>
    <mergeCell ref="K31:K32"/>
    <mergeCell ref="L31:L32"/>
    <mergeCell ref="M31:M32"/>
    <mergeCell ref="N28:N30"/>
    <mergeCell ref="O28:O30"/>
    <mergeCell ref="P28:P30"/>
    <mergeCell ref="Q28:Q32"/>
    <mergeCell ref="D29:D32"/>
    <mergeCell ref="E29:E32"/>
    <mergeCell ref="F29:F32"/>
    <mergeCell ref="G29:G32"/>
    <mergeCell ref="H29:H32"/>
    <mergeCell ref="I29:I32"/>
    <mergeCell ref="N31:N32"/>
    <mergeCell ref="O31:O32"/>
    <mergeCell ref="P31:P32"/>
    <mergeCell ref="A33:A36"/>
    <mergeCell ref="B33:B36"/>
    <mergeCell ref="C33:C36"/>
    <mergeCell ref="D33:D34"/>
    <mergeCell ref="E33:E34"/>
    <mergeCell ref="F33:F34"/>
    <mergeCell ref="G33:G34"/>
    <mergeCell ref="H33:H34"/>
    <mergeCell ref="I33:I34"/>
    <mergeCell ref="J33:J34"/>
    <mergeCell ref="K33:K36"/>
    <mergeCell ref="L33:L36"/>
    <mergeCell ref="M33:M36"/>
    <mergeCell ref="N33:N36"/>
    <mergeCell ref="O33:O36"/>
    <mergeCell ref="P33:P36"/>
    <mergeCell ref="Q33:Q36"/>
    <mergeCell ref="B37:Q37"/>
    <mergeCell ref="A38:A42"/>
    <mergeCell ref="B38:B42"/>
    <mergeCell ref="C38:C42"/>
    <mergeCell ref="K38:K42"/>
    <mergeCell ref="D39:D42"/>
    <mergeCell ref="E39:E40"/>
    <mergeCell ref="F39:F40"/>
    <mergeCell ref="G39:G40"/>
    <mergeCell ref="H39:H40"/>
    <mergeCell ref="I39:I40"/>
    <mergeCell ref="J39:J40"/>
    <mergeCell ref="L39:L40"/>
    <mergeCell ref="M39:M40"/>
    <mergeCell ref="N39:N40"/>
    <mergeCell ref="O39:O40"/>
    <mergeCell ref="P39:P40"/>
    <mergeCell ref="Q39:Q40"/>
    <mergeCell ref="E41:E42"/>
    <mergeCell ref="F41:F42"/>
    <mergeCell ref="G41:G42"/>
    <mergeCell ref="H41:H42"/>
    <mergeCell ref="I41:I42"/>
    <mergeCell ref="J41:J42"/>
    <mergeCell ref="L41:L42"/>
    <mergeCell ref="M41:M42"/>
    <mergeCell ref="N41:N42"/>
    <mergeCell ref="O41:O42"/>
    <mergeCell ref="P41:P42"/>
    <mergeCell ref="Q41:Q42"/>
    <mergeCell ref="A43:A45"/>
    <mergeCell ref="B43:B45"/>
    <mergeCell ref="C43:C45"/>
    <mergeCell ref="K43:K45"/>
    <mergeCell ref="A46:A48"/>
    <mergeCell ref="B46:B48"/>
    <mergeCell ref="C46:C48"/>
    <mergeCell ref="K46:K48"/>
    <mergeCell ref="A49:A51"/>
    <mergeCell ref="B49:B51"/>
    <mergeCell ref="C49:C51"/>
    <mergeCell ref="K49:K51"/>
    <mergeCell ref="A52:A56"/>
    <mergeCell ref="B52:B56"/>
    <mergeCell ref="C52:C56"/>
    <mergeCell ref="D52:D54"/>
    <mergeCell ref="E52:E54"/>
    <mergeCell ref="F52:F54"/>
    <mergeCell ref="G52:G54"/>
    <mergeCell ref="H52:H54"/>
    <mergeCell ref="I52:I54"/>
    <mergeCell ref="J52:J54"/>
    <mergeCell ref="K52:K56"/>
    <mergeCell ref="L52:L56"/>
    <mergeCell ref="M52:M56"/>
    <mergeCell ref="N52:N56"/>
    <mergeCell ref="O52:O56"/>
    <mergeCell ref="P52:P56"/>
    <mergeCell ref="Q52:Q56"/>
    <mergeCell ref="A57:A59"/>
    <mergeCell ref="B57:B59"/>
    <mergeCell ref="C57:C59"/>
    <mergeCell ref="K57:K59"/>
    <mergeCell ref="L57:L59"/>
    <mergeCell ref="M57:M59"/>
    <mergeCell ref="N57:N59"/>
    <mergeCell ref="O57:O59"/>
    <mergeCell ref="P57:P59"/>
    <mergeCell ref="Q57:Q59"/>
    <mergeCell ref="D58:D59"/>
    <mergeCell ref="E58:E59"/>
    <mergeCell ref="F58:F59"/>
    <mergeCell ref="G58:G59"/>
    <mergeCell ref="H58:H59"/>
    <mergeCell ref="Q60:Q62"/>
    <mergeCell ref="I58:I59"/>
    <mergeCell ref="J58:J59"/>
    <mergeCell ref="A60:A62"/>
    <mergeCell ref="B60:B62"/>
    <mergeCell ref="C60:C62"/>
    <mergeCell ref="K60:K62"/>
    <mergeCell ref="D61:D62"/>
    <mergeCell ref="E61:E62"/>
    <mergeCell ref="F61:F62"/>
    <mergeCell ref="A63:A64"/>
    <mergeCell ref="B63:B64"/>
    <mergeCell ref="C63:C64"/>
    <mergeCell ref="L60:L62"/>
    <mergeCell ref="M60:M62"/>
    <mergeCell ref="N60:N62"/>
    <mergeCell ref="G61:G62"/>
    <mergeCell ref="L63:L64"/>
    <mergeCell ref="M63:M64"/>
    <mergeCell ref="N63:N64"/>
    <mergeCell ref="O63:O64"/>
    <mergeCell ref="P63:P64"/>
    <mergeCell ref="H61:H62"/>
    <mergeCell ref="I61:I62"/>
    <mergeCell ref="J61:J62"/>
    <mergeCell ref="O60:O62"/>
    <mergeCell ref="P60:P62"/>
    <mergeCell ref="Q63:Q64"/>
    <mergeCell ref="C65:C67"/>
    <mergeCell ref="K65:K67"/>
    <mergeCell ref="L65:L67"/>
    <mergeCell ref="M65:M67"/>
    <mergeCell ref="N65:N67"/>
    <mergeCell ref="O65:O67"/>
    <mergeCell ref="P65:P67"/>
    <mergeCell ref="Q65:Q67"/>
    <mergeCell ref="K63:K64"/>
    <mergeCell ref="A68:A73"/>
    <mergeCell ref="B68:B73"/>
    <mergeCell ref="C68:C73"/>
    <mergeCell ref="D68:D71"/>
    <mergeCell ref="E68:E71"/>
    <mergeCell ref="F68:F71"/>
    <mergeCell ref="G68:G71"/>
    <mergeCell ref="H68:H71"/>
    <mergeCell ref="I68:I71"/>
    <mergeCell ref="J68:J71"/>
    <mergeCell ref="K68:K73"/>
    <mergeCell ref="L68:L73"/>
    <mergeCell ref="M68:M73"/>
    <mergeCell ref="N68:N73"/>
    <mergeCell ref="O68:O73"/>
    <mergeCell ref="P68:P73"/>
    <mergeCell ref="Q68:Q73"/>
    <mergeCell ref="A74:A76"/>
    <mergeCell ref="B74:B76"/>
    <mergeCell ref="C74:C76"/>
    <mergeCell ref="K74:K76"/>
    <mergeCell ref="L74:L76"/>
    <mergeCell ref="M74:M76"/>
    <mergeCell ref="N74:N76"/>
    <mergeCell ref="O74:O76"/>
    <mergeCell ref="P74:P76"/>
    <mergeCell ref="Q74:Q76"/>
    <mergeCell ref="D75:D76"/>
    <mergeCell ref="E75:E76"/>
    <mergeCell ref="F75:F76"/>
    <mergeCell ref="G75:G76"/>
    <mergeCell ref="H75:H76"/>
    <mergeCell ref="I75:I76"/>
    <mergeCell ref="J75:J76"/>
    <mergeCell ref="A77:A79"/>
    <mergeCell ref="B77:B79"/>
    <mergeCell ref="C77:C79"/>
    <mergeCell ref="K77:K79"/>
    <mergeCell ref="L77:L79"/>
    <mergeCell ref="M77:M79"/>
    <mergeCell ref="N77:N79"/>
    <mergeCell ref="O77:O79"/>
    <mergeCell ref="P77:P79"/>
    <mergeCell ref="Q77:Q79"/>
    <mergeCell ref="K80:K83"/>
    <mergeCell ref="L80:L83"/>
    <mergeCell ref="A80:A83"/>
    <mergeCell ref="B80:B83"/>
    <mergeCell ref="C80:C83"/>
    <mergeCell ref="D80:D81"/>
    <mergeCell ref="E80:E81"/>
    <mergeCell ref="F80:F81"/>
    <mergeCell ref="M80:M83"/>
    <mergeCell ref="N80:N83"/>
    <mergeCell ref="O80:O83"/>
    <mergeCell ref="P80:P83"/>
    <mergeCell ref="Q80:Q83"/>
    <mergeCell ref="B84:Q84"/>
    <mergeCell ref="G80:G81"/>
    <mergeCell ref="H80:H81"/>
    <mergeCell ref="I80:I81"/>
    <mergeCell ref="J80:J81"/>
    <mergeCell ref="A85:A90"/>
    <mergeCell ref="B85:B90"/>
    <mergeCell ref="C85:C90"/>
    <mergeCell ref="D85:D88"/>
    <mergeCell ref="E85:E88"/>
    <mergeCell ref="F85:F88"/>
    <mergeCell ref="G85:G88"/>
    <mergeCell ref="H85:H88"/>
    <mergeCell ref="I85:I88"/>
    <mergeCell ref="J85:J88"/>
    <mergeCell ref="K85:K90"/>
    <mergeCell ref="L85:L90"/>
    <mergeCell ref="M85:M90"/>
    <mergeCell ref="N85:N90"/>
    <mergeCell ref="O85:O90"/>
    <mergeCell ref="P85:P90"/>
    <mergeCell ref="Q85:Q90"/>
    <mergeCell ref="A91:A92"/>
    <mergeCell ref="B91:B92"/>
    <mergeCell ref="C91:C92"/>
    <mergeCell ref="K91:K92"/>
    <mergeCell ref="L91:L92"/>
    <mergeCell ref="M91:M92"/>
    <mergeCell ref="N91:N92"/>
    <mergeCell ref="O91:O92"/>
    <mergeCell ref="P91:P92"/>
    <mergeCell ref="Q91:Q92"/>
    <mergeCell ref="A93:A95"/>
    <mergeCell ref="B93:B95"/>
    <mergeCell ref="C93:C95"/>
    <mergeCell ref="D93:D94"/>
    <mergeCell ref="E93:E94"/>
    <mergeCell ref="F93:F94"/>
    <mergeCell ref="G93:G94"/>
    <mergeCell ref="H93:H94"/>
    <mergeCell ref="I93:I94"/>
    <mergeCell ref="J93:J94"/>
    <mergeCell ref="K93:K95"/>
    <mergeCell ref="L93:L95"/>
    <mergeCell ref="M93:M95"/>
    <mergeCell ref="N93:N95"/>
    <mergeCell ref="O93:O95"/>
    <mergeCell ref="P93:P95"/>
    <mergeCell ref="Q93:Q95"/>
    <mergeCell ref="A96:A100"/>
    <mergeCell ref="B96:B100"/>
    <mergeCell ref="C96:C100"/>
    <mergeCell ref="K96:K100"/>
    <mergeCell ref="L96:L100"/>
    <mergeCell ref="M96:M100"/>
    <mergeCell ref="J97:J100"/>
    <mergeCell ref="N96:N100"/>
    <mergeCell ref="O96:O100"/>
    <mergeCell ref="P96:P100"/>
    <mergeCell ref="Q96:Q100"/>
    <mergeCell ref="D97:D100"/>
    <mergeCell ref="E97:E100"/>
    <mergeCell ref="F97:F100"/>
    <mergeCell ref="G97:G100"/>
    <mergeCell ref="H97:H100"/>
    <mergeCell ref="I97:I100"/>
    <mergeCell ref="A101:A103"/>
    <mergeCell ref="B101:B103"/>
    <mergeCell ref="C101:C103"/>
    <mergeCell ref="K101:K103"/>
    <mergeCell ref="L101:L103"/>
    <mergeCell ref="M101:M103"/>
    <mergeCell ref="N101:N103"/>
    <mergeCell ref="O101:O103"/>
    <mergeCell ref="P101:P103"/>
    <mergeCell ref="A104:A105"/>
    <mergeCell ref="B104:B105"/>
    <mergeCell ref="C104:C106"/>
    <mergeCell ref="K104:K105"/>
    <mergeCell ref="L104:L105"/>
    <mergeCell ref="M104:M105"/>
    <mergeCell ref="N104:N105"/>
    <mergeCell ref="O104:O105"/>
    <mergeCell ref="P104:P105"/>
    <mergeCell ref="Q104:Q105"/>
    <mergeCell ref="A107:A108"/>
    <mergeCell ref="B107:B108"/>
    <mergeCell ref="C107:C108"/>
    <mergeCell ref="K107:K108"/>
    <mergeCell ref="L107:L108"/>
    <mergeCell ref="M107:M108"/>
    <mergeCell ref="N107:N108"/>
    <mergeCell ref="O107:O108"/>
    <mergeCell ref="P107:P108"/>
    <mergeCell ref="A109:A111"/>
    <mergeCell ref="B109:B111"/>
    <mergeCell ref="C109:C111"/>
    <mergeCell ref="K109:K111"/>
    <mergeCell ref="L109:L111"/>
    <mergeCell ref="M109:M111"/>
    <mergeCell ref="N109:N111"/>
    <mergeCell ref="O109:O111"/>
    <mergeCell ref="P109:P111"/>
    <mergeCell ref="A112:A117"/>
    <mergeCell ref="B112:B117"/>
    <mergeCell ref="C112:C117"/>
    <mergeCell ref="D112:D115"/>
    <mergeCell ref="E112:E115"/>
    <mergeCell ref="F112:F115"/>
    <mergeCell ref="G112:G115"/>
    <mergeCell ref="H112:H115"/>
    <mergeCell ref="I112:I115"/>
    <mergeCell ref="J112:J115"/>
    <mergeCell ref="K112:K117"/>
    <mergeCell ref="L112:L117"/>
    <mergeCell ref="M112:M117"/>
    <mergeCell ref="N112:N117"/>
    <mergeCell ref="O112:O117"/>
    <mergeCell ref="P112:P117"/>
    <mergeCell ref="Q112:Q117"/>
    <mergeCell ref="A118:A120"/>
    <mergeCell ref="B118:B120"/>
    <mergeCell ref="C118:C120"/>
    <mergeCell ref="K118:K120"/>
    <mergeCell ref="L118:L120"/>
    <mergeCell ref="M118:M120"/>
    <mergeCell ref="N118:N120"/>
    <mergeCell ref="O118:O120"/>
    <mergeCell ref="P118:P120"/>
    <mergeCell ref="Q118:Q120"/>
    <mergeCell ref="D119:D120"/>
    <mergeCell ref="E119:E120"/>
    <mergeCell ref="F119:F120"/>
    <mergeCell ref="G119:G120"/>
    <mergeCell ref="H119:H120"/>
    <mergeCell ref="I119:I120"/>
    <mergeCell ref="J119:J120"/>
    <mergeCell ref="A121:A122"/>
    <mergeCell ref="B121:B122"/>
    <mergeCell ref="C121:C122"/>
    <mergeCell ref="K121:K122"/>
    <mergeCell ref="L121:L122"/>
    <mergeCell ref="M121:M122"/>
    <mergeCell ref="N121:N122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A128:A132"/>
    <mergeCell ref="B128:B132"/>
    <mergeCell ref="C128:C132"/>
    <mergeCell ref="D128:D130"/>
    <mergeCell ref="E128:E130"/>
    <mergeCell ref="F128:F130"/>
    <mergeCell ref="G128:G130"/>
    <mergeCell ref="H128:H130"/>
    <mergeCell ref="I128:I130"/>
    <mergeCell ref="J128:J130"/>
    <mergeCell ref="K128:K132"/>
    <mergeCell ref="L128:L132"/>
    <mergeCell ref="M128:M132"/>
    <mergeCell ref="N128:N132"/>
    <mergeCell ref="O128:O132"/>
    <mergeCell ref="P128:P132"/>
    <mergeCell ref="Q128:Q132"/>
    <mergeCell ref="A133:A135"/>
    <mergeCell ref="B133:B135"/>
    <mergeCell ref="C133:C135"/>
    <mergeCell ref="K133:K135"/>
    <mergeCell ref="L133:L135"/>
    <mergeCell ref="M133:M135"/>
    <mergeCell ref="N133:N135"/>
    <mergeCell ref="O133:O135"/>
    <mergeCell ref="P133:P135"/>
    <mergeCell ref="Q133:Q135"/>
    <mergeCell ref="D134:D135"/>
    <mergeCell ref="E134:E135"/>
    <mergeCell ref="F134:F135"/>
    <mergeCell ref="G134:G135"/>
    <mergeCell ref="H134:H135"/>
    <mergeCell ref="I134:I135"/>
    <mergeCell ref="J134:J135"/>
    <mergeCell ref="A136:A140"/>
    <mergeCell ref="B136:B140"/>
    <mergeCell ref="C136:C140"/>
    <mergeCell ref="K136:K140"/>
    <mergeCell ref="D137:D140"/>
    <mergeCell ref="E137:E140"/>
    <mergeCell ref="F137:F140"/>
    <mergeCell ref="G137:G140"/>
    <mergeCell ref="L136:L140"/>
    <mergeCell ref="M136:M140"/>
    <mergeCell ref="N136:N140"/>
    <mergeCell ref="O136:O140"/>
    <mergeCell ref="P136:P140"/>
    <mergeCell ref="Q136:Q140"/>
    <mergeCell ref="H137:H140"/>
    <mergeCell ref="I137:I140"/>
    <mergeCell ref="J137:J140"/>
    <mergeCell ref="A141:A144"/>
    <mergeCell ref="B141:B144"/>
    <mergeCell ref="C141:C144"/>
    <mergeCell ref="E141:E142"/>
    <mergeCell ref="F141:F142"/>
    <mergeCell ref="G141:G142"/>
    <mergeCell ref="H141:H142"/>
    <mergeCell ref="I141:I142"/>
    <mergeCell ref="J141:J142"/>
    <mergeCell ref="K141:K144"/>
    <mergeCell ref="L141:L144"/>
    <mergeCell ref="M141:M144"/>
    <mergeCell ref="N141:N144"/>
    <mergeCell ref="O141:O144"/>
    <mergeCell ref="P141:P144"/>
    <mergeCell ref="Q141:Q144"/>
    <mergeCell ref="B145:Q145"/>
    <mergeCell ref="C146:C149"/>
    <mergeCell ref="K146:K149"/>
    <mergeCell ref="Q146:Q149"/>
    <mergeCell ref="H147:H148"/>
    <mergeCell ref="I147:I148"/>
    <mergeCell ref="J147:J148"/>
    <mergeCell ref="A147:A148"/>
    <mergeCell ref="B147:B148"/>
    <mergeCell ref="D147:D148"/>
    <mergeCell ref="E147:E148"/>
    <mergeCell ref="F147:F148"/>
    <mergeCell ref="G147:G148"/>
    <mergeCell ref="L147:L148"/>
    <mergeCell ref="M147:M148"/>
    <mergeCell ref="N147:N148"/>
    <mergeCell ref="O147:O148"/>
    <mergeCell ref="P147:P148"/>
    <mergeCell ref="A150:A152"/>
    <mergeCell ref="B150:B152"/>
    <mergeCell ref="C150:C152"/>
    <mergeCell ref="K150:K152"/>
    <mergeCell ref="L150:L152"/>
    <mergeCell ref="M150:M152"/>
    <mergeCell ref="N150:N152"/>
    <mergeCell ref="O150:O152"/>
    <mergeCell ref="P150:P152"/>
    <mergeCell ref="Q150:Q152"/>
    <mergeCell ref="A153:A155"/>
    <mergeCell ref="B153:B155"/>
    <mergeCell ref="C153:C155"/>
    <mergeCell ref="D153:D154"/>
    <mergeCell ref="E153:E154"/>
    <mergeCell ref="F153:F154"/>
    <mergeCell ref="G153:G154"/>
    <mergeCell ref="H153:H154"/>
    <mergeCell ref="I153:I154"/>
    <mergeCell ref="J153:J154"/>
    <mergeCell ref="K153:K155"/>
    <mergeCell ref="L153:L155"/>
    <mergeCell ref="M153:M155"/>
    <mergeCell ref="N153:N155"/>
    <mergeCell ref="O153:O155"/>
    <mergeCell ref="P153:P155"/>
    <mergeCell ref="Q153:Q155"/>
    <mergeCell ref="A156:A158"/>
    <mergeCell ref="B156:B158"/>
    <mergeCell ref="C156:C158"/>
    <mergeCell ref="K156:K158"/>
    <mergeCell ref="L156:L158"/>
    <mergeCell ref="M156:M158"/>
    <mergeCell ref="J157:J158"/>
    <mergeCell ref="N156:N158"/>
    <mergeCell ref="O156:O158"/>
    <mergeCell ref="P156:P158"/>
    <mergeCell ref="Q156:Q158"/>
    <mergeCell ref="D157:D158"/>
    <mergeCell ref="E157:E158"/>
    <mergeCell ref="F157:F158"/>
    <mergeCell ref="G157:G158"/>
    <mergeCell ref="H157:H158"/>
    <mergeCell ref="I157:I158"/>
    <mergeCell ref="A159:A161"/>
    <mergeCell ref="B159:B161"/>
    <mergeCell ref="C159:C161"/>
    <mergeCell ref="K159:K161"/>
    <mergeCell ref="L159:L161"/>
    <mergeCell ref="M159:M161"/>
    <mergeCell ref="J160:J161"/>
    <mergeCell ref="N159:N161"/>
    <mergeCell ref="O159:O161"/>
    <mergeCell ref="P159:P161"/>
    <mergeCell ref="Q159:Q161"/>
    <mergeCell ref="D160:D161"/>
    <mergeCell ref="E160:E161"/>
    <mergeCell ref="F160:F161"/>
    <mergeCell ref="G160:G161"/>
    <mergeCell ref="H160:H161"/>
    <mergeCell ref="I160:I161"/>
    <mergeCell ref="A162:A164"/>
    <mergeCell ref="B162:B164"/>
    <mergeCell ref="C162:C164"/>
    <mergeCell ref="K162:K163"/>
    <mergeCell ref="L162:L163"/>
    <mergeCell ref="M162:M163"/>
    <mergeCell ref="J163:J164"/>
    <mergeCell ref="N162:N163"/>
    <mergeCell ref="O162:O163"/>
    <mergeCell ref="P162:P163"/>
    <mergeCell ref="Q162:Q164"/>
    <mergeCell ref="D163:D164"/>
    <mergeCell ref="E163:E164"/>
    <mergeCell ref="F163:F164"/>
    <mergeCell ref="G163:G164"/>
    <mergeCell ref="H163:H164"/>
    <mergeCell ref="I163:I164"/>
    <mergeCell ref="M165:M168"/>
    <mergeCell ref="A165:A168"/>
    <mergeCell ref="B165:B168"/>
    <mergeCell ref="C165:C168"/>
    <mergeCell ref="E165:E166"/>
    <mergeCell ref="F165:F166"/>
    <mergeCell ref="G165:G166"/>
    <mergeCell ref="F169:F170"/>
    <mergeCell ref="H165:H166"/>
    <mergeCell ref="I165:I166"/>
    <mergeCell ref="J165:J166"/>
    <mergeCell ref="K165:K168"/>
    <mergeCell ref="L165:L168"/>
    <mergeCell ref="L169:L172"/>
    <mergeCell ref="N165:N168"/>
    <mergeCell ref="O165:O168"/>
    <mergeCell ref="P165:P168"/>
    <mergeCell ref="Q165:Q168"/>
    <mergeCell ref="A169:A172"/>
    <mergeCell ref="B169:B172"/>
    <mergeCell ref="C169:C172"/>
    <mergeCell ref="D169:D170"/>
    <mergeCell ref="E169:E170"/>
    <mergeCell ref="M169:M172"/>
    <mergeCell ref="N169:N172"/>
    <mergeCell ref="O169:O172"/>
    <mergeCell ref="P169:P172"/>
    <mergeCell ref="Q169:Q172"/>
    <mergeCell ref="G169:G170"/>
    <mergeCell ref="H169:H170"/>
    <mergeCell ref="I169:I170"/>
    <mergeCell ref="J169:J170"/>
    <mergeCell ref="K169:K172"/>
  </mergeCells>
  <printOptions horizontalCentered="1"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85" r:id="rId1"/>
  <ignoredErrors>
    <ignoredError sqref="B86:Q103 L38:P79 L28:P32 B10:Q10 B20:Q22 B19:F19 H19:Q19 C18:Q18 B151:Q172 B150:J150 L150:Q150 B12:Q14 B11:F11 H11:Q11 B16:Q17 B15:F15 H15:Q15 B85:J85 L85:Q85 B105:Q127 B104:J104 L104:Q104 B129:Q144 B128:J128 L128:Q128 B146:Q149 C145:Q145" numberStoredAsText="1"/>
    <ignoredError sqref="E46:E49 G8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60"/>
  <sheetViews>
    <sheetView zoomScaleSheetLayoutView="100" workbookViewId="0" topLeftCell="A1">
      <pane ySplit="8" topLeftCell="A47" activePane="bottomLeft" state="frozen"/>
      <selection pane="topLeft" activeCell="A1" sqref="A1"/>
      <selection pane="bottomLeft" activeCell="E59" sqref="E59:K60"/>
    </sheetView>
  </sheetViews>
  <sheetFormatPr defaultColWidth="19.57421875" defaultRowHeight="18.75" customHeight="1"/>
  <cols>
    <col min="1" max="1" width="4.8515625" style="485" customWidth="1"/>
    <col min="2" max="2" width="27.57421875" style="486" customWidth="1"/>
    <col min="3" max="3" width="6.8515625" style="486" customWidth="1"/>
    <col min="4" max="4" width="8.00390625" style="486" customWidth="1"/>
    <col min="5" max="5" width="8.421875" style="487" customWidth="1"/>
    <col min="6" max="11" width="7.421875" style="487" customWidth="1"/>
    <col min="12" max="12" width="36.57421875" style="488" customWidth="1"/>
    <col min="13" max="18" width="5.00390625" style="487" customWidth="1"/>
    <col min="19" max="19" width="21.421875" style="495" customWidth="1"/>
    <col min="20" max="16384" width="19.57421875" style="486" customWidth="1"/>
  </cols>
  <sheetData>
    <row r="1" spans="10:22" ht="24.75" customHeight="1">
      <c r="J1" s="486"/>
      <c r="K1" s="59"/>
      <c r="L1" s="786" t="s">
        <v>518</v>
      </c>
      <c r="M1" s="786"/>
      <c r="N1" s="786"/>
      <c r="O1" s="786"/>
      <c r="P1" s="786"/>
      <c r="Q1" s="786"/>
      <c r="R1" s="786"/>
      <c r="S1" s="786"/>
      <c r="T1" s="59"/>
      <c r="U1" s="59"/>
      <c r="V1" s="59"/>
    </row>
    <row r="2" spans="9:19" ht="11.25" customHeight="1">
      <c r="I2" s="59"/>
      <c r="J2" s="59"/>
      <c r="K2" s="59"/>
      <c r="L2" s="789" t="s">
        <v>479</v>
      </c>
      <c r="M2" s="789"/>
      <c r="N2" s="789"/>
      <c r="O2" s="789"/>
      <c r="P2" s="789"/>
      <c r="Q2" s="789"/>
      <c r="R2" s="789"/>
      <c r="S2" s="789"/>
    </row>
    <row r="3" spans="8:19" ht="9.75" customHeight="1">
      <c r="H3" s="596"/>
      <c r="I3" s="781" t="s">
        <v>507</v>
      </c>
      <c r="J3" s="781"/>
      <c r="K3" s="781"/>
      <c r="L3" s="781"/>
      <c r="M3" s="781"/>
      <c r="N3" s="781"/>
      <c r="O3" s="781"/>
      <c r="P3" s="781"/>
      <c r="Q3" s="781"/>
      <c r="R3" s="781"/>
      <c r="S3" s="781"/>
    </row>
    <row r="4" spans="1:19" ht="29.25" customHeight="1">
      <c r="A4" s="787" t="s">
        <v>431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</row>
    <row r="5" ht="9" customHeight="1">
      <c r="S5" s="478"/>
    </row>
    <row r="6" spans="1:20" ht="21.75" customHeight="1">
      <c r="A6" s="788" t="s">
        <v>16</v>
      </c>
      <c r="B6" s="776" t="s">
        <v>15</v>
      </c>
      <c r="C6" s="788" t="s">
        <v>8</v>
      </c>
      <c r="D6" s="788" t="s">
        <v>9</v>
      </c>
      <c r="E6" s="778" t="s">
        <v>406</v>
      </c>
      <c r="F6" s="779"/>
      <c r="G6" s="779"/>
      <c r="H6" s="779"/>
      <c r="I6" s="779"/>
      <c r="J6" s="780"/>
      <c r="K6" s="591"/>
      <c r="L6" s="778" t="s">
        <v>17</v>
      </c>
      <c r="M6" s="779"/>
      <c r="N6" s="779"/>
      <c r="O6" s="779"/>
      <c r="P6" s="779"/>
      <c r="Q6" s="779"/>
      <c r="R6" s="780"/>
      <c r="S6" s="1048" t="s">
        <v>477</v>
      </c>
      <c r="T6" s="1053" t="s">
        <v>482</v>
      </c>
    </row>
    <row r="7" spans="1:20" ht="21.75" customHeight="1">
      <c r="A7" s="788"/>
      <c r="B7" s="777"/>
      <c r="C7" s="788"/>
      <c r="D7" s="788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475</v>
      </c>
      <c r="K7" s="75" t="s">
        <v>476</v>
      </c>
      <c r="L7" s="75" t="s">
        <v>433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1049"/>
      <c r="T7" s="1054"/>
    </row>
    <row r="8" spans="1:19" ht="11.25" customHeight="1">
      <c r="A8" s="601">
        <v>1</v>
      </c>
      <c r="B8" s="601">
        <v>2</v>
      </c>
      <c r="C8" s="601">
        <v>3</v>
      </c>
      <c r="D8" s="601">
        <v>4</v>
      </c>
      <c r="E8" s="601">
        <v>5</v>
      </c>
      <c r="F8" s="601">
        <v>6</v>
      </c>
      <c r="G8" s="601">
        <v>7</v>
      </c>
      <c r="H8" s="601">
        <v>8</v>
      </c>
      <c r="I8" s="601">
        <v>9</v>
      </c>
      <c r="J8" s="601">
        <v>10</v>
      </c>
      <c r="K8" s="601">
        <v>11</v>
      </c>
      <c r="L8" s="601">
        <v>12</v>
      </c>
      <c r="M8" s="601">
        <v>13</v>
      </c>
      <c r="N8" s="601">
        <v>14</v>
      </c>
      <c r="O8" s="601">
        <v>15</v>
      </c>
      <c r="P8" s="601">
        <v>16</v>
      </c>
      <c r="Q8" s="601">
        <v>17</v>
      </c>
      <c r="R8" s="601">
        <v>18</v>
      </c>
      <c r="S8" s="601">
        <v>19</v>
      </c>
    </row>
    <row r="9" spans="1:19" ht="15" customHeight="1">
      <c r="A9" s="597"/>
      <c r="B9" s="782" t="s">
        <v>467</v>
      </c>
      <c r="C9" s="782"/>
      <c r="D9" s="782"/>
      <c r="E9" s="782"/>
      <c r="F9" s="782"/>
      <c r="G9" s="782"/>
      <c r="H9" s="782"/>
      <c r="I9" s="782"/>
      <c r="J9" s="782"/>
      <c r="K9" s="782"/>
      <c r="L9" s="782"/>
      <c r="M9" s="782"/>
      <c r="N9" s="782"/>
      <c r="O9" s="782"/>
      <c r="P9" s="782"/>
      <c r="Q9" s="782"/>
      <c r="R9" s="782"/>
      <c r="S9" s="782"/>
    </row>
    <row r="10" spans="1:19" ht="10.5" customHeight="1">
      <c r="A10" s="21" t="s">
        <v>72</v>
      </c>
      <c r="B10" s="1043" t="s">
        <v>459</v>
      </c>
      <c r="C10" s="1044"/>
      <c r="D10" s="1044"/>
      <c r="E10" s="1045"/>
      <c r="F10" s="1045"/>
      <c r="G10" s="1045"/>
      <c r="H10" s="1045"/>
      <c r="I10" s="1045"/>
      <c r="J10" s="1045"/>
      <c r="K10" s="1045"/>
      <c r="L10" s="1044"/>
      <c r="M10" s="1044"/>
      <c r="N10" s="1044"/>
      <c r="O10" s="1044"/>
      <c r="P10" s="1044"/>
      <c r="Q10" s="1044"/>
      <c r="R10" s="1044"/>
      <c r="S10" s="1046"/>
    </row>
    <row r="11" spans="1:20" ht="21.75" customHeight="1">
      <c r="A11" s="1010" t="s">
        <v>10</v>
      </c>
      <c r="B11" s="1039" t="s">
        <v>434</v>
      </c>
      <c r="C11" s="906" t="s">
        <v>480</v>
      </c>
      <c r="D11" s="605" t="s">
        <v>469</v>
      </c>
      <c r="E11" s="439">
        <f>SUM(F11:K11)</f>
        <v>612</v>
      </c>
      <c r="F11" s="553">
        <f aca="true" t="shared" si="0" ref="F11:K11">F12</f>
        <v>120</v>
      </c>
      <c r="G11" s="439">
        <f t="shared" si="0"/>
        <v>320</v>
      </c>
      <c r="H11" s="553">
        <f t="shared" si="0"/>
        <v>65</v>
      </c>
      <c r="I11" s="439">
        <f t="shared" si="0"/>
        <v>107</v>
      </c>
      <c r="J11" s="553">
        <f t="shared" si="0"/>
        <v>0</v>
      </c>
      <c r="K11" s="439">
        <f t="shared" si="0"/>
        <v>0</v>
      </c>
      <c r="M11" s="613"/>
      <c r="N11" s="613"/>
      <c r="O11" s="613"/>
      <c r="P11" s="613"/>
      <c r="Q11" s="613"/>
      <c r="R11" s="613"/>
      <c r="S11" s="555"/>
      <c r="T11" s="646" t="s">
        <v>497</v>
      </c>
    </row>
    <row r="12" spans="1:19" ht="12.75" customHeight="1">
      <c r="A12" s="1032"/>
      <c r="B12" s="1025"/>
      <c r="C12" s="1011"/>
      <c r="D12" s="607" t="s">
        <v>5</v>
      </c>
      <c r="E12" s="623">
        <f aca="true" t="shared" si="1" ref="E12:J12">E15+E18</f>
        <v>612</v>
      </c>
      <c r="F12" s="623">
        <f t="shared" si="1"/>
        <v>120</v>
      </c>
      <c r="G12" s="623">
        <f t="shared" si="1"/>
        <v>320</v>
      </c>
      <c r="H12" s="623">
        <f t="shared" si="1"/>
        <v>65</v>
      </c>
      <c r="I12" s="623">
        <f t="shared" si="1"/>
        <v>107</v>
      </c>
      <c r="J12" s="623">
        <f t="shared" si="1"/>
        <v>0</v>
      </c>
      <c r="K12" s="623">
        <f>K15+K18</f>
        <v>0</v>
      </c>
      <c r="L12" s="608"/>
      <c r="M12" s="629"/>
      <c r="N12" s="629"/>
      <c r="O12" s="629"/>
      <c r="P12" s="479"/>
      <c r="Q12" s="489"/>
      <c r="R12" s="629"/>
      <c r="S12" s="608"/>
    </row>
    <row r="13" spans="1:19" ht="12.75" customHeight="1">
      <c r="A13" s="1032"/>
      <c r="B13" s="1025"/>
      <c r="C13" s="1011"/>
      <c r="D13" s="607" t="s">
        <v>6</v>
      </c>
      <c r="E13" s="623">
        <f aca="true" t="shared" si="2" ref="E13:J13">E16+E19</f>
        <v>0</v>
      </c>
      <c r="F13" s="623">
        <f t="shared" si="2"/>
        <v>0</v>
      </c>
      <c r="G13" s="623">
        <f t="shared" si="2"/>
        <v>0</v>
      </c>
      <c r="H13" s="623">
        <f t="shared" si="2"/>
        <v>0</v>
      </c>
      <c r="I13" s="623">
        <f t="shared" si="2"/>
        <v>0</v>
      </c>
      <c r="J13" s="623">
        <f t="shared" si="2"/>
        <v>0</v>
      </c>
      <c r="K13" s="623">
        <f>K16+K19</f>
        <v>0</v>
      </c>
      <c r="L13" s="608"/>
      <c r="M13" s="629"/>
      <c r="N13" s="629"/>
      <c r="O13" s="629"/>
      <c r="P13" s="479"/>
      <c r="Q13" s="489"/>
      <c r="R13" s="629"/>
      <c r="S13" s="609"/>
    </row>
    <row r="14" spans="1:19" ht="21.75" customHeight="1">
      <c r="A14" s="617"/>
      <c r="B14" s="1025"/>
      <c r="C14" s="608"/>
      <c r="D14" s="605" t="s">
        <v>469</v>
      </c>
      <c r="E14" s="439">
        <f aca="true" t="shared" si="3" ref="E14:K14">E15+E16</f>
        <v>370</v>
      </c>
      <c r="F14" s="439">
        <f t="shared" si="3"/>
        <v>120</v>
      </c>
      <c r="G14" s="439">
        <f t="shared" si="3"/>
        <v>120</v>
      </c>
      <c r="H14" s="580">
        <f t="shared" si="3"/>
        <v>65</v>
      </c>
      <c r="I14" s="439">
        <f t="shared" si="3"/>
        <v>65</v>
      </c>
      <c r="J14" s="439">
        <f t="shared" si="3"/>
        <v>0</v>
      </c>
      <c r="K14" s="444">
        <f t="shared" si="3"/>
        <v>0</v>
      </c>
      <c r="L14" s="1024" t="s">
        <v>533</v>
      </c>
      <c r="M14" s="1050">
        <v>21</v>
      </c>
      <c r="N14" s="1050">
        <v>18</v>
      </c>
      <c r="O14" s="1050">
        <v>18</v>
      </c>
      <c r="P14" s="1050">
        <v>19</v>
      </c>
      <c r="Q14" s="1050">
        <v>20</v>
      </c>
      <c r="R14" s="1050">
        <v>21</v>
      </c>
      <c r="S14" s="1010" t="s">
        <v>439</v>
      </c>
    </row>
    <row r="15" spans="1:19" ht="12" customHeight="1">
      <c r="A15" s="617"/>
      <c r="B15" s="1025"/>
      <c r="C15" s="608"/>
      <c r="D15" s="607" t="s">
        <v>5</v>
      </c>
      <c r="E15" s="623">
        <f>SUM(F15:K15)</f>
        <v>370</v>
      </c>
      <c r="F15" s="552">
        <v>120</v>
      </c>
      <c r="G15" s="623">
        <v>120</v>
      </c>
      <c r="H15" s="552">
        <f>120-24-9-22</f>
        <v>65</v>
      </c>
      <c r="I15" s="623">
        <v>65</v>
      </c>
      <c r="J15" s="623">
        <v>0</v>
      </c>
      <c r="K15" s="552">
        <v>0</v>
      </c>
      <c r="L15" s="1025"/>
      <c r="M15" s="1051"/>
      <c r="N15" s="1051"/>
      <c r="O15" s="1051"/>
      <c r="P15" s="1051"/>
      <c r="Q15" s="1051"/>
      <c r="R15" s="1051"/>
      <c r="S15" s="1022"/>
    </row>
    <row r="16" spans="1:19" ht="12" customHeight="1">
      <c r="A16" s="617"/>
      <c r="B16" s="1025"/>
      <c r="C16" s="608"/>
      <c r="D16" s="616" t="s">
        <v>6</v>
      </c>
      <c r="E16" s="440">
        <f>SUM(F16:K16)</f>
        <v>0</v>
      </c>
      <c r="F16" s="554">
        <v>0</v>
      </c>
      <c r="G16" s="440">
        <v>0</v>
      </c>
      <c r="H16" s="554">
        <v>0</v>
      </c>
      <c r="I16" s="440">
        <v>0</v>
      </c>
      <c r="J16" s="440">
        <v>0</v>
      </c>
      <c r="K16" s="443">
        <v>0</v>
      </c>
      <c r="L16" s="1025"/>
      <c r="M16" s="1052"/>
      <c r="N16" s="1052"/>
      <c r="O16" s="1052"/>
      <c r="P16" s="1052"/>
      <c r="Q16" s="1052"/>
      <c r="R16" s="1052"/>
      <c r="S16" s="1023"/>
    </row>
    <row r="17" spans="1:19" ht="12" customHeight="1">
      <c r="A17" s="617"/>
      <c r="B17" s="1025"/>
      <c r="C17" s="608"/>
      <c r="D17" s="605" t="s">
        <v>469</v>
      </c>
      <c r="E17" s="439">
        <f aca="true" t="shared" si="4" ref="E17:K17">E18+E19</f>
        <v>242</v>
      </c>
      <c r="F17" s="439">
        <f t="shared" si="4"/>
        <v>0</v>
      </c>
      <c r="G17" s="439">
        <f t="shared" si="4"/>
        <v>200</v>
      </c>
      <c r="H17" s="439">
        <f t="shared" si="4"/>
        <v>0</v>
      </c>
      <c r="I17" s="439">
        <f t="shared" si="4"/>
        <v>42</v>
      </c>
      <c r="J17" s="439">
        <f t="shared" si="4"/>
        <v>0</v>
      </c>
      <c r="K17" s="439">
        <f t="shared" si="4"/>
        <v>0</v>
      </c>
      <c r="L17" s="1025"/>
      <c r="M17" s="1050">
        <v>0</v>
      </c>
      <c r="N17" s="1050">
        <v>1</v>
      </c>
      <c r="O17" s="1050">
        <v>0</v>
      </c>
      <c r="P17" s="1050">
        <v>1</v>
      </c>
      <c r="Q17" s="1050">
        <v>0</v>
      </c>
      <c r="R17" s="1050">
        <v>0</v>
      </c>
      <c r="S17" s="906" t="s">
        <v>51</v>
      </c>
    </row>
    <row r="18" spans="1:20" ht="12" customHeight="1">
      <c r="A18" s="617"/>
      <c r="B18" s="1025"/>
      <c r="C18" s="608"/>
      <c r="D18" s="607" t="s">
        <v>5</v>
      </c>
      <c r="E18" s="623">
        <f>SUM(F18:K18)</f>
        <v>242</v>
      </c>
      <c r="F18" s="552">
        <v>0</v>
      </c>
      <c r="G18" s="623">
        <v>200</v>
      </c>
      <c r="H18" s="552">
        <v>0</v>
      </c>
      <c r="I18" s="623">
        <v>42</v>
      </c>
      <c r="J18" s="552">
        <v>0</v>
      </c>
      <c r="K18" s="623">
        <v>0</v>
      </c>
      <c r="L18" s="1025"/>
      <c r="M18" s="1051"/>
      <c r="N18" s="1051"/>
      <c r="O18" s="1051"/>
      <c r="P18" s="1051"/>
      <c r="Q18" s="1051"/>
      <c r="R18" s="1051"/>
      <c r="S18" s="907"/>
      <c r="T18" s="645" t="s">
        <v>498</v>
      </c>
    </row>
    <row r="19" spans="1:19" ht="12" customHeight="1">
      <c r="A19" s="617"/>
      <c r="B19" s="1026"/>
      <c r="C19" s="608"/>
      <c r="D19" s="616" t="s">
        <v>6</v>
      </c>
      <c r="E19" s="440">
        <f>SUM(F19:K19)</f>
        <v>0</v>
      </c>
      <c r="F19" s="554">
        <v>0</v>
      </c>
      <c r="G19" s="440">
        <v>0</v>
      </c>
      <c r="H19" s="554">
        <v>0</v>
      </c>
      <c r="I19" s="440">
        <v>0</v>
      </c>
      <c r="J19" s="554">
        <v>0</v>
      </c>
      <c r="K19" s="440">
        <v>0</v>
      </c>
      <c r="L19" s="1026"/>
      <c r="M19" s="1052"/>
      <c r="N19" s="1052"/>
      <c r="O19" s="1052"/>
      <c r="P19" s="1052"/>
      <c r="Q19" s="1052"/>
      <c r="R19" s="1052"/>
      <c r="S19" s="1006"/>
    </row>
    <row r="20" spans="1:19" ht="13.5" customHeight="1">
      <c r="A20" s="21" t="s">
        <v>24</v>
      </c>
      <c r="B20" s="1005" t="s">
        <v>457</v>
      </c>
      <c r="C20" s="1005"/>
      <c r="D20" s="1042"/>
      <c r="E20" s="1042"/>
      <c r="F20" s="1042"/>
      <c r="G20" s="1042"/>
      <c r="H20" s="1042"/>
      <c r="I20" s="1042"/>
      <c r="J20" s="1042"/>
      <c r="K20" s="1042"/>
      <c r="L20" s="1005"/>
      <c r="M20" s="1005"/>
      <c r="N20" s="1005"/>
      <c r="O20" s="1005"/>
      <c r="P20" s="1005"/>
      <c r="Q20" s="1005"/>
      <c r="R20" s="1005"/>
      <c r="S20" s="1005"/>
    </row>
    <row r="21" spans="1:20" ht="13.5" customHeight="1">
      <c r="A21" s="1010" t="s">
        <v>26</v>
      </c>
      <c r="B21" s="1039" t="s">
        <v>435</v>
      </c>
      <c r="C21" s="1034" t="s">
        <v>480</v>
      </c>
      <c r="D21" s="605" t="s">
        <v>469</v>
      </c>
      <c r="E21" s="439">
        <f>SUM(F21:K21)</f>
        <v>796.4200000000001</v>
      </c>
      <c r="F21" s="439">
        <f aca="true" t="shared" si="5" ref="F21:K21">F26</f>
        <v>0</v>
      </c>
      <c r="G21" s="439">
        <f t="shared" si="5"/>
        <v>169.19</v>
      </c>
      <c r="H21" s="439">
        <f>H26</f>
        <v>149.10000000000002</v>
      </c>
      <c r="I21" s="439">
        <f>I26</f>
        <v>195.33</v>
      </c>
      <c r="J21" s="439">
        <f t="shared" si="5"/>
        <v>128</v>
      </c>
      <c r="K21" s="439">
        <f t="shared" si="5"/>
        <v>154.8</v>
      </c>
      <c r="L21" s="942" t="s">
        <v>532</v>
      </c>
      <c r="M21" s="613">
        <v>0</v>
      </c>
      <c r="N21" s="613">
        <v>43</v>
      </c>
      <c r="O21" s="613">
        <v>45</v>
      </c>
      <c r="P21" s="583">
        <v>45.5</v>
      </c>
      <c r="Q21" s="583">
        <v>45.7</v>
      </c>
      <c r="R21" s="583">
        <v>46</v>
      </c>
      <c r="S21" s="1010" t="s">
        <v>450</v>
      </c>
      <c r="T21" s="646" t="s">
        <v>499</v>
      </c>
    </row>
    <row r="22" spans="1:19" ht="6" customHeight="1" hidden="1">
      <c r="A22" s="1032"/>
      <c r="B22" s="1025"/>
      <c r="C22" s="1035"/>
      <c r="D22" s="1013" t="s">
        <v>217</v>
      </c>
      <c r="E22" s="954">
        <f>SUM(F22:I23)</f>
        <v>0</v>
      </c>
      <c r="F22" s="606"/>
      <c r="G22" s="606"/>
      <c r="H22" s="606"/>
      <c r="I22" s="1037"/>
      <c r="J22" s="1037"/>
      <c r="K22" s="1037"/>
      <c r="L22" s="1019"/>
      <c r="M22" s="607"/>
      <c r="N22" s="607"/>
      <c r="O22" s="607"/>
      <c r="P22" s="608"/>
      <c r="Q22" s="489"/>
      <c r="R22" s="607"/>
      <c r="S22" s="1011"/>
    </row>
    <row r="23" spans="1:19" ht="6.75" customHeight="1" hidden="1">
      <c r="A23" s="1032"/>
      <c r="B23" s="1025"/>
      <c r="C23" s="1035"/>
      <c r="D23" s="1013"/>
      <c r="E23" s="954"/>
      <c r="F23" s="606"/>
      <c r="G23" s="606"/>
      <c r="H23" s="606"/>
      <c r="I23" s="1037"/>
      <c r="J23" s="1037"/>
      <c r="K23" s="1037"/>
      <c r="L23" s="1019"/>
      <c r="M23" s="607"/>
      <c r="N23" s="607"/>
      <c r="O23" s="607"/>
      <c r="P23" s="608"/>
      <c r="Q23" s="489"/>
      <c r="R23" s="607"/>
      <c r="S23" s="1011"/>
    </row>
    <row r="24" spans="1:19" ht="15" customHeight="1" hidden="1">
      <c r="A24" s="1032"/>
      <c r="B24" s="1025"/>
      <c r="C24" s="1035"/>
      <c r="D24" s="1013"/>
      <c r="E24" s="606">
        <f>SUM(F24:I24)</f>
        <v>0</v>
      </c>
      <c r="F24" s="606"/>
      <c r="G24" s="606"/>
      <c r="H24" s="606"/>
      <c r="I24" s="620"/>
      <c r="J24" s="620"/>
      <c r="K24" s="620"/>
      <c r="L24" s="1019"/>
      <c r="M24" s="607"/>
      <c r="N24" s="607"/>
      <c r="O24" s="607"/>
      <c r="P24" s="608"/>
      <c r="Q24" s="489"/>
      <c r="R24" s="607"/>
      <c r="S24" s="1011"/>
    </row>
    <row r="25" spans="1:19" ht="22.5" customHeight="1" hidden="1">
      <c r="A25" s="1032"/>
      <c r="B25" s="1025"/>
      <c r="C25" s="1035"/>
      <c r="D25" s="1013"/>
      <c r="E25" s="606">
        <f>SUM(F25:I25)</f>
        <v>0</v>
      </c>
      <c r="F25" s="606"/>
      <c r="G25" s="606"/>
      <c r="H25" s="606"/>
      <c r="I25" s="620"/>
      <c r="J25" s="620"/>
      <c r="K25" s="620"/>
      <c r="L25" s="1019"/>
      <c r="M25" s="607"/>
      <c r="N25" s="607"/>
      <c r="O25" s="607"/>
      <c r="P25" s="608"/>
      <c r="Q25" s="489"/>
      <c r="R25" s="607"/>
      <c r="S25" s="1011"/>
    </row>
    <row r="26" spans="1:20" ht="12.75" customHeight="1">
      <c r="A26" s="1032"/>
      <c r="B26" s="1025"/>
      <c r="C26" s="1035"/>
      <c r="D26" s="611" t="s">
        <v>5</v>
      </c>
      <c r="E26" s="623">
        <f>SUM(F26:K26)</f>
        <v>796.4200000000001</v>
      </c>
      <c r="F26" s="623">
        <v>0</v>
      </c>
      <c r="G26" s="623">
        <f>200-30.81</f>
        <v>169.19</v>
      </c>
      <c r="H26" s="623">
        <f>200-35.2-15.7</f>
        <v>149.10000000000002</v>
      </c>
      <c r="I26" s="623">
        <f>128+53+14.33</f>
        <v>195.33</v>
      </c>
      <c r="J26" s="623">
        <v>128</v>
      </c>
      <c r="K26" s="623">
        <v>154.8</v>
      </c>
      <c r="L26" s="1019"/>
      <c r="M26" s="607"/>
      <c r="N26" s="607"/>
      <c r="O26" s="607"/>
      <c r="P26" s="608"/>
      <c r="Q26" s="489"/>
      <c r="R26" s="607"/>
      <c r="S26" s="1011"/>
      <c r="T26" s="645" t="s">
        <v>500</v>
      </c>
    </row>
    <row r="27" spans="1:20" ht="12.75" customHeight="1">
      <c r="A27" s="1033"/>
      <c r="B27" s="1026"/>
      <c r="C27" s="1036"/>
      <c r="D27" s="621" t="s">
        <v>6</v>
      </c>
      <c r="E27" s="440">
        <v>0</v>
      </c>
      <c r="F27" s="443">
        <v>0</v>
      </c>
      <c r="G27" s="443">
        <v>0</v>
      </c>
      <c r="H27" s="443">
        <v>0</v>
      </c>
      <c r="I27" s="443">
        <v>0</v>
      </c>
      <c r="J27" s="443">
        <v>0</v>
      </c>
      <c r="K27" s="443">
        <v>0</v>
      </c>
      <c r="L27" s="1020"/>
      <c r="M27" s="616"/>
      <c r="N27" s="616"/>
      <c r="O27" s="616"/>
      <c r="P27" s="609"/>
      <c r="Q27" s="489"/>
      <c r="R27" s="616"/>
      <c r="S27" s="1012"/>
      <c r="T27" s="645" t="s">
        <v>501</v>
      </c>
    </row>
    <row r="28" spans="1:19" ht="12.75" customHeight="1">
      <c r="A28" s="21" t="s">
        <v>28</v>
      </c>
      <c r="B28" s="1005" t="s">
        <v>460</v>
      </c>
      <c r="C28" s="1005"/>
      <c r="D28" s="1047"/>
      <c r="E28" s="1004"/>
      <c r="F28" s="1004"/>
      <c r="G28" s="1004"/>
      <c r="H28" s="1004"/>
      <c r="I28" s="1004"/>
      <c r="J28" s="1004"/>
      <c r="K28" s="1004"/>
      <c r="L28" s="1005"/>
      <c r="M28" s="1005"/>
      <c r="N28" s="1005"/>
      <c r="O28" s="1005"/>
      <c r="P28" s="1005"/>
      <c r="Q28" s="1005"/>
      <c r="R28" s="1005"/>
      <c r="S28" s="1005"/>
    </row>
    <row r="29" spans="1:20" ht="13.5" customHeight="1">
      <c r="A29" s="1010" t="s">
        <v>30</v>
      </c>
      <c r="B29" s="1039" t="s">
        <v>436</v>
      </c>
      <c r="C29" s="906" t="s">
        <v>480</v>
      </c>
      <c r="D29" s="605" t="s">
        <v>469</v>
      </c>
      <c r="E29" s="439">
        <f>SUM(F29:K29)</f>
        <v>188</v>
      </c>
      <c r="F29" s="439">
        <f aca="true" t="shared" si="6" ref="F29:K29">F30+F31</f>
        <v>67</v>
      </c>
      <c r="G29" s="439">
        <f t="shared" si="6"/>
        <v>67</v>
      </c>
      <c r="H29" s="439">
        <f t="shared" si="6"/>
        <v>27</v>
      </c>
      <c r="I29" s="439">
        <f t="shared" si="6"/>
        <v>27</v>
      </c>
      <c r="J29" s="439">
        <f t="shared" si="6"/>
        <v>0</v>
      </c>
      <c r="K29" s="439">
        <f t="shared" si="6"/>
        <v>0</v>
      </c>
      <c r="L29" s="1014" t="s">
        <v>534</v>
      </c>
      <c r="M29" s="1000">
        <v>1</v>
      </c>
      <c r="N29" s="1000">
        <v>1</v>
      </c>
      <c r="O29" s="1000">
        <v>1</v>
      </c>
      <c r="P29" s="1000">
        <v>1</v>
      </c>
      <c r="Q29" s="1000">
        <v>1</v>
      </c>
      <c r="R29" s="1000">
        <v>1</v>
      </c>
      <c r="S29" s="1010" t="s">
        <v>439</v>
      </c>
      <c r="T29" s="646" t="s">
        <v>502</v>
      </c>
    </row>
    <row r="30" spans="1:20" ht="44.25" customHeight="1">
      <c r="A30" s="1022"/>
      <c r="B30" s="1040"/>
      <c r="C30" s="907"/>
      <c r="D30" s="445" t="s">
        <v>5</v>
      </c>
      <c r="E30" s="623">
        <f>SUM(F30:K30)</f>
        <v>188</v>
      </c>
      <c r="F30" s="623">
        <v>67</v>
      </c>
      <c r="G30" s="623">
        <v>67</v>
      </c>
      <c r="H30" s="623">
        <f>67-10-13-17</f>
        <v>27</v>
      </c>
      <c r="I30" s="622">
        <v>27</v>
      </c>
      <c r="J30" s="622">
        <v>0</v>
      </c>
      <c r="K30" s="622">
        <v>0</v>
      </c>
      <c r="L30" s="1038"/>
      <c r="M30" s="972"/>
      <c r="N30" s="972"/>
      <c r="O30" s="972"/>
      <c r="P30" s="972"/>
      <c r="Q30" s="972"/>
      <c r="R30" s="972"/>
      <c r="S30" s="1022"/>
      <c r="T30" s="645" t="s">
        <v>503</v>
      </c>
    </row>
    <row r="31" spans="1:19" ht="20.25" customHeight="1">
      <c r="A31" s="1022"/>
      <c r="B31" s="1040"/>
      <c r="C31" s="907"/>
      <c r="D31" s="611" t="s">
        <v>6</v>
      </c>
      <c r="E31" s="623">
        <v>0</v>
      </c>
      <c r="F31" s="623">
        <v>0</v>
      </c>
      <c r="G31" s="623">
        <v>0</v>
      </c>
      <c r="H31" s="623">
        <v>0</v>
      </c>
      <c r="I31" s="623">
        <v>0</v>
      </c>
      <c r="J31" s="623">
        <v>0</v>
      </c>
      <c r="K31" s="623">
        <v>0</v>
      </c>
      <c r="L31" s="1014" t="s">
        <v>535</v>
      </c>
      <c r="M31" s="610">
        <v>2</v>
      </c>
      <c r="N31" s="610">
        <v>2</v>
      </c>
      <c r="O31" s="610">
        <v>2</v>
      </c>
      <c r="P31" s="610">
        <v>2</v>
      </c>
      <c r="Q31" s="610">
        <v>2</v>
      </c>
      <c r="R31" s="610">
        <v>2</v>
      </c>
      <c r="S31" s="1022"/>
    </row>
    <row r="32" spans="1:19" ht="13.5" customHeight="1">
      <c r="A32" s="1022"/>
      <c r="B32" s="1040"/>
      <c r="C32" s="907"/>
      <c r="D32" s="611"/>
      <c r="E32" s="606"/>
      <c r="F32" s="606"/>
      <c r="G32" s="606"/>
      <c r="H32" s="606"/>
      <c r="I32" s="606"/>
      <c r="J32" s="606"/>
      <c r="K32" s="620"/>
      <c r="L32" s="1015"/>
      <c r="M32" s="640"/>
      <c r="N32" s="640"/>
      <c r="O32" s="640"/>
      <c r="P32" s="491"/>
      <c r="Q32" s="491"/>
      <c r="R32" s="491"/>
      <c r="S32" s="1022"/>
    </row>
    <row r="33" spans="1:19" ht="24" customHeight="1">
      <c r="A33" s="1023"/>
      <c r="B33" s="1041"/>
      <c r="C33" s="1006"/>
      <c r="D33" s="621"/>
      <c r="E33" s="604"/>
      <c r="F33" s="604"/>
      <c r="G33" s="604"/>
      <c r="H33" s="604"/>
      <c r="I33" s="604"/>
      <c r="J33" s="604"/>
      <c r="K33" s="475"/>
      <c r="L33" s="1016"/>
      <c r="M33" s="603"/>
      <c r="N33" s="603"/>
      <c r="O33" s="603"/>
      <c r="P33" s="492"/>
      <c r="Q33" s="492"/>
      <c r="R33" s="492"/>
      <c r="S33" s="1023"/>
    </row>
    <row r="34" spans="1:19" ht="12.75" customHeight="1">
      <c r="A34" s="21" t="s">
        <v>34</v>
      </c>
      <c r="B34" s="1005" t="s">
        <v>441</v>
      </c>
      <c r="C34" s="1005"/>
      <c r="D34" s="1042"/>
      <c r="E34" s="1042"/>
      <c r="F34" s="1042"/>
      <c r="G34" s="1042"/>
      <c r="H34" s="1042"/>
      <c r="I34" s="1042"/>
      <c r="J34" s="1042"/>
      <c r="K34" s="1042"/>
      <c r="L34" s="1005"/>
      <c r="M34" s="1005"/>
      <c r="N34" s="1005"/>
      <c r="O34" s="1005"/>
      <c r="P34" s="1005"/>
      <c r="Q34" s="1005"/>
      <c r="R34" s="1005"/>
      <c r="S34" s="1005"/>
    </row>
    <row r="35" spans="1:20" ht="15.75" customHeight="1">
      <c r="A35" s="612" t="s">
        <v>36</v>
      </c>
      <c r="B35" s="1039" t="s">
        <v>437</v>
      </c>
      <c r="C35" s="906" t="s">
        <v>480</v>
      </c>
      <c r="D35" s="605" t="s">
        <v>469</v>
      </c>
      <c r="E35" s="439">
        <f aca="true" t="shared" si="7" ref="E35:K35">SUM(E36:E37)</f>
        <v>4184.8</v>
      </c>
      <c r="F35" s="439">
        <f t="shared" si="7"/>
        <v>853.44</v>
      </c>
      <c r="G35" s="439">
        <f t="shared" si="7"/>
        <v>794.96</v>
      </c>
      <c r="H35" s="439">
        <f t="shared" si="7"/>
        <v>858.45</v>
      </c>
      <c r="I35" s="439">
        <f>SUM(I36:I37)</f>
        <v>894.47</v>
      </c>
      <c r="J35" s="439">
        <f t="shared" si="7"/>
        <v>391.74</v>
      </c>
      <c r="K35" s="439">
        <f t="shared" si="7"/>
        <v>391.74</v>
      </c>
      <c r="L35" s="942" t="s">
        <v>445</v>
      </c>
      <c r="M35" s="626">
        <v>35</v>
      </c>
      <c r="N35" s="626">
        <v>44</v>
      </c>
      <c r="O35" s="626">
        <v>44</v>
      </c>
      <c r="P35" s="626">
        <v>45</v>
      </c>
      <c r="Q35" s="626">
        <v>46</v>
      </c>
      <c r="R35" s="626">
        <v>47</v>
      </c>
      <c r="S35" s="1010"/>
      <c r="T35" s="646" t="s">
        <v>504</v>
      </c>
    </row>
    <row r="36" spans="1:19" ht="13.5" customHeight="1">
      <c r="A36" s="493"/>
      <c r="B36" s="1040"/>
      <c r="C36" s="907"/>
      <c r="D36" s="607" t="s">
        <v>5</v>
      </c>
      <c r="E36" s="623">
        <f aca="true" t="shared" si="8" ref="E36:E42">SUM(F36:K36)</f>
        <v>2591.8</v>
      </c>
      <c r="F36" s="622">
        <f>F39+F41+F44+F47</f>
        <v>604.84</v>
      </c>
      <c r="G36" s="622">
        <f>G39+G41+G44+G47</f>
        <v>516.66</v>
      </c>
      <c r="H36" s="622">
        <f>H39+H41+H44+H47</f>
        <v>564.45</v>
      </c>
      <c r="I36" s="622">
        <f>I39+I41+I44+I47</f>
        <v>636.33</v>
      </c>
      <c r="J36" s="622">
        <f>K39+K41+K44+K47</f>
        <v>134.76</v>
      </c>
      <c r="K36" s="622">
        <f>K39+K41+K45+K48</f>
        <v>134.76</v>
      </c>
      <c r="L36" s="1019"/>
      <c r="M36" s="627"/>
      <c r="N36" s="627"/>
      <c r="O36" s="627"/>
      <c r="P36" s="627"/>
      <c r="Q36" s="490"/>
      <c r="R36" s="627"/>
      <c r="S36" s="1022"/>
    </row>
    <row r="37" spans="1:19" ht="14.25" customHeight="1">
      <c r="A37" s="425"/>
      <c r="B37" s="1041"/>
      <c r="C37" s="907"/>
      <c r="D37" s="607" t="s">
        <v>6</v>
      </c>
      <c r="E37" s="623">
        <f t="shared" si="8"/>
        <v>1593</v>
      </c>
      <c r="F37" s="622">
        <f aca="true" t="shared" si="9" ref="F37:K37">F40</f>
        <v>248.6</v>
      </c>
      <c r="G37" s="622">
        <f t="shared" si="9"/>
        <v>278.3</v>
      </c>
      <c r="H37" s="622">
        <f t="shared" si="9"/>
        <v>294</v>
      </c>
      <c r="I37" s="622">
        <f>I40+I43+I46+I49</f>
        <v>258.14</v>
      </c>
      <c r="J37" s="622">
        <f t="shared" si="9"/>
        <v>256.98</v>
      </c>
      <c r="K37" s="622">
        <f t="shared" si="9"/>
        <v>256.98</v>
      </c>
      <c r="L37" s="1020"/>
      <c r="M37" s="628"/>
      <c r="N37" s="628"/>
      <c r="O37" s="628"/>
      <c r="P37" s="628"/>
      <c r="Q37" s="490"/>
      <c r="R37" s="628"/>
      <c r="S37" s="1023"/>
    </row>
    <row r="38" spans="1:19" ht="30.75" customHeight="1">
      <c r="A38" s="1010" t="s">
        <v>82</v>
      </c>
      <c r="B38" s="1039" t="s">
        <v>444</v>
      </c>
      <c r="C38" s="907"/>
      <c r="D38" s="605" t="s">
        <v>469</v>
      </c>
      <c r="E38" s="441">
        <f>SUM(F38:K38)</f>
        <v>2526.7699999999995</v>
      </c>
      <c r="F38" s="441">
        <f aca="true" t="shared" si="10" ref="F38:K38">F39+F40</f>
        <v>352.6</v>
      </c>
      <c r="G38" s="441">
        <f t="shared" si="10"/>
        <v>378.3</v>
      </c>
      <c r="H38" s="441">
        <f t="shared" si="10"/>
        <v>490.89</v>
      </c>
      <c r="I38" s="581">
        <f t="shared" si="10"/>
        <v>521.5</v>
      </c>
      <c r="J38" s="581">
        <f t="shared" si="10"/>
        <v>391.74</v>
      </c>
      <c r="K38" s="581">
        <f t="shared" si="10"/>
        <v>391.74</v>
      </c>
      <c r="L38" s="1007" t="s">
        <v>448</v>
      </c>
      <c r="M38" s="467">
        <v>27</v>
      </c>
      <c r="N38" s="467">
        <v>28</v>
      </c>
      <c r="O38" s="467">
        <v>27</v>
      </c>
      <c r="P38" s="467">
        <v>27</v>
      </c>
      <c r="Q38" s="467">
        <v>27</v>
      </c>
      <c r="R38" s="467">
        <v>27</v>
      </c>
      <c r="S38" s="906" t="s">
        <v>51</v>
      </c>
    </row>
    <row r="39" spans="1:20" ht="15" customHeight="1">
      <c r="A39" s="1022"/>
      <c r="B39" s="1040"/>
      <c r="C39" s="907"/>
      <c r="D39" s="607" t="s">
        <v>5</v>
      </c>
      <c r="E39" s="623">
        <f>SUM(F39:K39)</f>
        <v>933.77</v>
      </c>
      <c r="F39" s="623">
        <v>104</v>
      </c>
      <c r="G39" s="623">
        <v>100</v>
      </c>
      <c r="H39" s="623">
        <f>100+96.89</f>
        <v>196.89</v>
      </c>
      <c r="I39" s="622">
        <v>263.36</v>
      </c>
      <c r="J39" s="622">
        <v>134.76</v>
      </c>
      <c r="K39" s="622">
        <v>134.76</v>
      </c>
      <c r="L39" s="1008"/>
      <c r="M39" s="602"/>
      <c r="N39" s="602"/>
      <c r="O39" s="602"/>
      <c r="P39" s="602"/>
      <c r="Q39" s="490"/>
      <c r="R39" s="602"/>
      <c r="S39" s="907"/>
      <c r="T39" s="645" t="s">
        <v>505</v>
      </c>
    </row>
    <row r="40" spans="1:20" ht="26.25" customHeight="1">
      <c r="A40" s="1022"/>
      <c r="B40" s="1040"/>
      <c r="C40" s="907"/>
      <c r="D40" s="607" t="s">
        <v>6</v>
      </c>
      <c r="E40" s="623">
        <f t="shared" si="8"/>
        <v>1593</v>
      </c>
      <c r="F40" s="623">
        <v>248.6</v>
      </c>
      <c r="G40" s="623">
        <v>278.3</v>
      </c>
      <c r="H40" s="623">
        <v>294</v>
      </c>
      <c r="I40" s="623">
        <v>258.14</v>
      </c>
      <c r="J40" s="623">
        <v>256.98</v>
      </c>
      <c r="K40" s="623">
        <v>256.98</v>
      </c>
      <c r="L40" s="1009"/>
      <c r="M40" s="600"/>
      <c r="N40" s="600"/>
      <c r="O40" s="600"/>
      <c r="P40" s="600"/>
      <c r="Q40" s="490"/>
      <c r="R40" s="600"/>
      <c r="S40" s="1006"/>
      <c r="T40" s="645" t="s">
        <v>506</v>
      </c>
    </row>
    <row r="41" spans="1:19" ht="14.25" customHeight="1">
      <c r="A41" s="612" t="s">
        <v>85</v>
      </c>
      <c r="B41" s="1055" t="s">
        <v>446</v>
      </c>
      <c r="C41" s="907"/>
      <c r="D41" s="605" t="s">
        <v>469</v>
      </c>
      <c r="E41" s="441">
        <f>SUM(F41:K41)</f>
        <v>60</v>
      </c>
      <c r="F41" s="441">
        <v>20</v>
      </c>
      <c r="G41" s="441">
        <v>20</v>
      </c>
      <c r="H41" s="441">
        <v>20</v>
      </c>
      <c r="I41" s="441">
        <f>I42</f>
        <v>0</v>
      </c>
      <c r="J41" s="441">
        <f>J42+J43</f>
        <v>0</v>
      </c>
      <c r="K41" s="441">
        <f>K42+K43</f>
        <v>0</v>
      </c>
      <c r="L41" s="1007" t="s">
        <v>447</v>
      </c>
      <c r="M41" s="467">
        <v>14</v>
      </c>
      <c r="N41" s="599">
        <v>28.6</v>
      </c>
      <c r="O41" s="599">
        <v>28.7</v>
      </c>
      <c r="P41" s="599">
        <v>28.8</v>
      </c>
      <c r="Q41" s="599">
        <v>28.9</v>
      </c>
      <c r="R41" s="467">
        <v>29</v>
      </c>
      <c r="S41" s="906" t="s">
        <v>528</v>
      </c>
    </row>
    <row r="42" spans="1:19" ht="11.25" customHeight="1">
      <c r="A42" s="614"/>
      <c r="B42" s="1011"/>
      <c r="C42" s="907"/>
      <c r="D42" s="607" t="s">
        <v>5</v>
      </c>
      <c r="E42" s="623">
        <f t="shared" si="8"/>
        <v>60</v>
      </c>
      <c r="F42" s="623">
        <v>20</v>
      </c>
      <c r="G42" s="623">
        <v>20</v>
      </c>
      <c r="H42" s="623">
        <v>20</v>
      </c>
      <c r="I42" s="623">
        <v>0</v>
      </c>
      <c r="J42" s="623">
        <v>0</v>
      </c>
      <c r="K42" s="623">
        <v>0</v>
      </c>
      <c r="L42" s="1008"/>
      <c r="M42" s="602"/>
      <c r="N42" s="602"/>
      <c r="O42" s="602"/>
      <c r="P42" s="602"/>
      <c r="Q42" s="490"/>
      <c r="R42" s="602"/>
      <c r="S42" s="907"/>
    </row>
    <row r="43" spans="1:19" ht="11.25" customHeight="1">
      <c r="A43" s="615"/>
      <c r="B43" s="1012"/>
      <c r="C43" s="907"/>
      <c r="D43" s="616" t="s">
        <v>6</v>
      </c>
      <c r="E43" s="440">
        <v>0</v>
      </c>
      <c r="F43" s="623">
        <v>0</v>
      </c>
      <c r="G43" s="623">
        <v>0</v>
      </c>
      <c r="H43" s="623">
        <v>0</v>
      </c>
      <c r="I43" s="623">
        <v>0</v>
      </c>
      <c r="J43" s="623">
        <v>0</v>
      </c>
      <c r="K43" s="623">
        <v>0</v>
      </c>
      <c r="L43" s="1009"/>
      <c r="M43" s="600"/>
      <c r="N43" s="600"/>
      <c r="O43" s="600"/>
      <c r="P43" s="600"/>
      <c r="Q43" s="490"/>
      <c r="R43" s="600"/>
      <c r="S43" s="1006"/>
    </row>
    <row r="44" spans="1:19" ht="19.5" customHeight="1">
      <c r="A44" s="612" t="s">
        <v>138</v>
      </c>
      <c r="B44" s="1055" t="s">
        <v>449</v>
      </c>
      <c r="C44" s="907"/>
      <c r="D44" s="605" t="s">
        <v>440</v>
      </c>
      <c r="E44" s="441">
        <f>SUM(F44:K44)</f>
        <v>1122.6</v>
      </c>
      <c r="F44" s="441">
        <f aca="true" t="shared" si="11" ref="F44:K44">F45</f>
        <v>352.12</v>
      </c>
      <c r="G44" s="441">
        <f t="shared" si="11"/>
        <v>278.2</v>
      </c>
      <c r="H44" s="441">
        <f t="shared" si="11"/>
        <v>241.31</v>
      </c>
      <c r="I44" s="441">
        <f t="shared" si="11"/>
        <v>250.97000000000003</v>
      </c>
      <c r="J44" s="441">
        <f t="shared" si="11"/>
        <v>0</v>
      </c>
      <c r="K44" s="441">
        <f t="shared" si="11"/>
        <v>0</v>
      </c>
      <c r="L44" s="1007" t="s">
        <v>451</v>
      </c>
      <c r="M44" s="467">
        <v>17</v>
      </c>
      <c r="N44" s="599">
        <v>18.2</v>
      </c>
      <c r="O44" s="467">
        <v>19</v>
      </c>
      <c r="P44" s="467">
        <v>20</v>
      </c>
      <c r="Q44" s="467">
        <v>21</v>
      </c>
      <c r="R44" s="467">
        <v>22</v>
      </c>
      <c r="S44" s="906" t="s">
        <v>450</v>
      </c>
    </row>
    <row r="45" spans="1:19" ht="14.25" customHeight="1">
      <c r="A45" s="614"/>
      <c r="B45" s="1011"/>
      <c r="C45" s="907"/>
      <c r="D45" s="607" t="s">
        <v>5</v>
      </c>
      <c r="E45" s="623">
        <f>SUM(F45:K45)</f>
        <v>1122.6</v>
      </c>
      <c r="F45" s="623">
        <v>352.12</v>
      </c>
      <c r="G45" s="623">
        <f>478.2-200</f>
        <v>278.2</v>
      </c>
      <c r="H45" s="623">
        <f>324.62+13.58-96.89</f>
        <v>241.31</v>
      </c>
      <c r="I45" s="623">
        <f>132.05+112.65+6.27</f>
        <v>250.97000000000003</v>
      </c>
      <c r="J45" s="623">
        <v>0</v>
      </c>
      <c r="K45" s="623">
        <v>0</v>
      </c>
      <c r="L45" s="1008"/>
      <c r="M45" s="602"/>
      <c r="N45" s="602"/>
      <c r="O45" s="602"/>
      <c r="P45" s="602"/>
      <c r="Q45" s="490"/>
      <c r="R45" s="602"/>
      <c r="S45" s="907"/>
    </row>
    <row r="46" spans="1:19" ht="17.25" customHeight="1">
      <c r="A46" s="614"/>
      <c r="B46" s="1012"/>
      <c r="C46" s="907"/>
      <c r="D46" s="607" t="s">
        <v>6</v>
      </c>
      <c r="E46" s="623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1009"/>
      <c r="M46" s="600"/>
      <c r="N46" s="600"/>
      <c r="O46" s="600"/>
      <c r="P46" s="600"/>
      <c r="Q46" s="490"/>
      <c r="R46" s="600"/>
      <c r="S46" s="1006"/>
    </row>
    <row r="47" spans="1:19" ht="23.25" customHeight="1">
      <c r="A47" s="612" t="s">
        <v>452</v>
      </c>
      <c r="B47" s="1055" t="s">
        <v>37</v>
      </c>
      <c r="C47" s="907"/>
      <c r="D47" s="619" t="s">
        <v>440</v>
      </c>
      <c r="E47" s="441">
        <f>SUM(F47:K47)</f>
        <v>475.43</v>
      </c>
      <c r="F47" s="441">
        <v>128.72</v>
      </c>
      <c r="G47" s="505">
        <f>G48+G49</f>
        <v>118.46000000000001</v>
      </c>
      <c r="H47" s="441">
        <f>H48+H49</f>
        <v>106.25</v>
      </c>
      <c r="I47" s="441">
        <f>I48+I49</f>
        <v>122</v>
      </c>
      <c r="J47" s="441">
        <f>J48+J49</f>
        <v>0</v>
      </c>
      <c r="K47" s="441">
        <f>K48+K49</f>
        <v>0</v>
      </c>
      <c r="L47" s="1007" t="s">
        <v>443</v>
      </c>
      <c r="M47" s="598">
        <v>27</v>
      </c>
      <c r="N47" s="598">
        <v>18</v>
      </c>
      <c r="O47" s="598">
        <v>13</v>
      </c>
      <c r="P47" s="598">
        <v>14</v>
      </c>
      <c r="Q47" s="598">
        <v>15</v>
      </c>
      <c r="R47" s="598">
        <v>16</v>
      </c>
      <c r="S47" s="906" t="s">
        <v>146</v>
      </c>
    </row>
    <row r="48" spans="1:19" ht="12" customHeight="1">
      <c r="A48" s="614"/>
      <c r="B48" s="1011"/>
      <c r="C48" s="907"/>
      <c r="D48" s="611" t="s">
        <v>5</v>
      </c>
      <c r="E48" s="623">
        <f>SUM(F48:K48)</f>
        <v>475.43</v>
      </c>
      <c r="F48" s="623">
        <v>128.72</v>
      </c>
      <c r="G48" s="464">
        <f>154-35.54</f>
        <v>118.46000000000001</v>
      </c>
      <c r="H48" s="623">
        <f>116-9.75</f>
        <v>106.25</v>
      </c>
      <c r="I48" s="622">
        <f>102+20</f>
        <v>122</v>
      </c>
      <c r="J48" s="622">
        <v>0</v>
      </c>
      <c r="K48" s="622">
        <v>0</v>
      </c>
      <c r="L48" s="1008"/>
      <c r="M48" s="602"/>
      <c r="N48" s="602"/>
      <c r="O48" s="602"/>
      <c r="P48" s="602"/>
      <c r="Q48" s="490"/>
      <c r="R48" s="602"/>
      <c r="S48" s="907"/>
    </row>
    <row r="49" spans="1:19" ht="12" customHeight="1">
      <c r="A49" s="615"/>
      <c r="B49" s="1012"/>
      <c r="C49" s="1006"/>
      <c r="D49" s="621" t="s">
        <v>6</v>
      </c>
      <c r="E49" s="440">
        <v>0</v>
      </c>
      <c r="F49" s="440">
        <v>0</v>
      </c>
      <c r="G49" s="506">
        <v>0</v>
      </c>
      <c r="H49" s="440">
        <v>0</v>
      </c>
      <c r="I49" s="443">
        <v>0</v>
      </c>
      <c r="J49" s="443">
        <v>0</v>
      </c>
      <c r="K49" s="443">
        <v>0</v>
      </c>
      <c r="L49" s="1009"/>
      <c r="M49" s="600"/>
      <c r="N49" s="600"/>
      <c r="O49" s="600"/>
      <c r="P49" s="600"/>
      <c r="Q49" s="490"/>
      <c r="R49" s="600"/>
      <c r="S49" s="1006"/>
    </row>
    <row r="50" spans="1:19" ht="12.75" customHeight="1">
      <c r="A50" s="447" t="s">
        <v>38</v>
      </c>
      <c r="B50" s="1003" t="s">
        <v>461</v>
      </c>
      <c r="C50" s="1004"/>
      <c r="D50" s="1004"/>
      <c r="E50" s="1004"/>
      <c r="F50" s="1004"/>
      <c r="G50" s="1004"/>
      <c r="H50" s="1004"/>
      <c r="I50" s="1004"/>
      <c r="J50" s="1004"/>
      <c r="K50" s="1004"/>
      <c r="L50" s="1005"/>
      <c r="M50" s="1005"/>
      <c r="N50" s="1005"/>
      <c r="O50" s="1005"/>
      <c r="P50" s="1005"/>
      <c r="Q50" s="1005"/>
      <c r="R50" s="1005"/>
      <c r="S50" s="1005"/>
    </row>
    <row r="51" spans="1:19" ht="27" customHeight="1">
      <c r="A51" s="612" t="s">
        <v>39</v>
      </c>
      <c r="B51" s="1039" t="s">
        <v>438</v>
      </c>
      <c r="C51" s="1001" t="s">
        <v>480</v>
      </c>
      <c r="D51" s="619" t="s">
        <v>440</v>
      </c>
      <c r="E51" s="439">
        <f>SUM(F51:K51)</f>
        <v>46</v>
      </c>
      <c r="F51" s="439">
        <f aca="true" t="shared" si="12" ref="F51:K51">F56</f>
        <v>0</v>
      </c>
      <c r="G51" s="439">
        <f t="shared" si="12"/>
        <v>20</v>
      </c>
      <c r="H51" s="439">
        <f t="shared" si="12"/>
        <v>13</v>
      </c>
      <c r="I51" s="439">
        <f t="shared" si="12"/>
        <v>13</v>
      </c>
      <c r="J51" s="439">
        <f t="shared" si="12"/>
        <v>0</v>
      </c>
      <c r="K51" s="439">
        <f t="shared" si="12"/>
        <v>0</v>
      </c>
      <c r="L51" s="942" t="s">
        <v>442</v>
      </c>
      <c r="M51" s="610">
        <v>10</v>
      </c>
      <c r="N51" s="610">
        <v>9</v>
      </c>
      <c r="O51" s="610">
        <v>10</v>
      </c>
      <c r="P51" s="610">
        <v>11</v>
      </c>
      <c r="Q51" s="610">
        <v>12</v>
      </c>
      <c r="R51" s="610">
        <v>13</v>
      </c>
      <c r="S51" s="1010" t="s">
        <v>439</v>
      </c>
    </row>
    <row r="52" spans="1:19" ht="13.5" customHeight="1" hidden="1">
      <c r="A52" s="494"/>
      <c r="B52" s="1040"/>
      <c r="C52" s="1002"/>
      <c r="D52" s="1013"/>
      <c r="E52" s="1017"/>
      <c r="F52" s="623"/>
      <c r="G52" s="623"/>
      <c r="H52" s="623"/>
      <c r="I52" s="1021"/>
      <c r="J52" s="1021"/>
      <c r="K52" s="1021"/>
      <c r="L52" s="1019"/>
      <c r="M52" s="617"/>
      <c r="N52" s="617"/>
      <c r="O52" s="617"/>
      <c r="P52" s="476"/>
      <c r="Q52" s="490"/>
      <c r="R52" s="617"/>
      <c r="S52" s="1011"/>
    </row>
    <row r="53" spans="1:19" ht="11.25" customHeight="1" hidden="1">
      <c r="A53" s="424"/>
      <c r="B53" s="1040"/>
      <c r="C53" s="1002"/>
      <c r="D53" s="1013"/>
      <c r="E53" s="1017"/>
      <c r="F53" s="623"/>
      <c r="G53" s="623"/>
      <c r="H53" s="623"/>
      <c r="I53" s="1021"/>
      <c r="J53" s="1021"/>
      <c r="K53" s="1021"/>
      <c r="L53" s="1019"/>
      <c r="M53" s="617"/>
      <c r="N53" s="617"/>
      <c r="O53" s="617"/>
      <c r="P53" s="476"/>
      <c r="Q53" s="490"/>
      <c r="R53" s="617"/>
      <c r="S53" s="1011"/>
    </row>
    <row r="54" spans="1:19" ht="8.25" customHeight="1" hidden="1">
      <c r="A54" s="424"/>
      <c r="B54" s="1040"/>
      <c r="C54" s="1002"/>
      <c r="D54" s="1013"/>
      <c r="E54" s="1017"/>
      <c r="F54" s="623"/>
      <c r="G54" s="623"/>
      <c r="H54" s="623"/>
      <c r="I54" s="1021"/>
      <c r="J54" s="1021"/>
      <c r="K54" s="1021"/>
      <c r="L54" s="1019"/>
      <c r="M54" s="617"/>
      <c r="N54" s="617"/>
      <c r="O54" s="617"/>
      <c r="P54" s="476"/>
      <c r="Q54" s="490"/>
      <c r="R54" s="617"/>
      <c r="S54" s="1011"/>
    </row>
    <row r="55" spans="1:19" ht="14.25" customHeight="1" hidden="1" thickBot="1">
      <c r="A55" s="424"/>
      <c r="B55" s="1040"/>
      <c r="C55" s="1002"/>
      <c r="D55" s="1013"/>
      <c r="E55" s="1017"/>
      <c r="F55" s="623"/>
      <c r="G55" s="623"/>
      <c r="H55" s="623"/>
      <c r="I55" s="1021"/>
      <c r="J55" s="1021"/>
      <c r="K55" s="1021"/>
      <c r="L55" s="1019"/>
      <c r="M55" s="617"/>
      <c r="N55" s="617"/>
      <c r="O55" s="617"/>
      <c r="P55" s="476"/>
      <c r="Q55" s="490"/>
      <c r="R55" s="617"/>
      <c r="S55" s="1011"/>
    </row>
    <row r="56" spans="1:19" ht="14.25" customHeight="1">
      <c r="A56" s="424"/>
      <c r="B56" s="1025"/>
      <c r="C56" s="624"/>
      <c r="D56" s="611" t="s">
        <v>5</v>
      </c>
      <c r="E56" s="623">
        <f>SUM(F56:K56)</f>
        <v>46</v>
      </c>
      <c r="F56" s="623">
        <v>0</v>
      </c>
      <c r="G56" s="623">
        <v>20</v>
      </c>
      <c r="H56" s="623">
        <f>20-2-5</f>
        <v>13</v>
      </c>
      <c r="I56" s="623">
        <v>13</v>
      </c>
      <c r="J56" s="623">
        <v>0</v>
      </c>
      <c r="K56" s="623">
        <v>0</v>
      </c>
      <c r="L56" s="1019"/>
      <c r="M56" s="617"/>
      <c r="N56" s="617"/>
      <c r="O56" s="617"/>
      <c r="P56" s="476"/>
      <c r="Q56" s="490"/>
      <c r="R56" s="617"/>
      <c r="S56" s="1011"/>
    </row>
    <row r="57" spans="1:19" ht="29.25" customHeight="1" thickBot="1">
      <c r="A57" s="425"/>
      <c r="B57" s="1026"/>
      <c r="C57" s="446"/>
      <c r="D57" s="611" t="s">
        <v>6</v>
      </c>
      <c r="E57" s="623">
        <v>0</v>
      </c>
      <c r="F57" s="623">
        <v>0</v>
      </c>
      <c r="G57" s="623">
        <v>0</v>
      </c>
      <c r="H57" s="623">
        <v>0</v>
      </c>
      <c r="I57" s="622">
        <v>0</v>
      </c>
      <c r="J57" s="622">
        <v>0</v>
      </c>
      <c r="K57" s="622">
        <v>0</v>
      </c>
      <c r="L57" s="1020"/>
      <c r="M57" s="618"/>
      <c r="N57" s="618"/>
      <c r="O57" s="618"/>
      <c r="P57" s="477"/>
      <c r="Q57" s="490"/>
      <c r="R57" s="618"/>
      <c r="S57" s="1012"/>
    </row>
    <row r="58" spans="1:20" ht="24" customHeight="1">
      <c r="A58" s="1006"/>
      <c r="B58" s="1027" t="s">
        <v>13</v>
      </c>
      <c r="C58" s="1028"/>
      <c r="D58" s="556" t="s">
        <v>440</v>
      </c>
      <c r="E58" s="480">
        <f>SUM(F58:K58)</f>
        <v>5827.22</v>
      </c>
      <c r="F58" s="466">
        <f aca="true" t="shared" si="13" ref="F58:K58">F59+F60</f>
        <v>1040.44</v>
      </c>
      <c r="G58" s="466">
        <f t="shared" si="13"/>
        <v>1371.1499999999999</v>
      </c>
      <c r="H58" s="466">
        <f t="shared" si="13"/>
        <v>1112.5500000000002</v>
      </c>
      <c r="I58" s="466">
        <f t="shared" si="13"/>
        <v>1236.8000000000002</v>
      </c>
      <c r="J58" s="466">
        <f t="shared" si="13"/>
        <v>519.74</v>
      </c>
      <c r="K58" s="647">
        <f t="shared" si="13"/>
        <v>546.54</v>
      </c>
      <c r="L58" s="1030"/>
      <c r="M58" s="822"/>
      <c r="N58" s="822"/>
      <c r="O58" s="822"/>
      <c r="P58" s="822"/>
      <c r="Q58" s="822"/>
      <c r="R58" s="906"/>
      <c r="S58" s="822"/>
      <c r="T58" s="646" t="s">
        <v>496</v>
      </c>
    </row>
    <row r="59" spans="1:19" ht="12" customHeight="1">
      <c r="A59" s="1018"/>
      <c r="B59" s="1018"/>
      <c r="C59" s="1029"/>
      <c r="D59" s="481" t="s">
        <v>5</v>
      </c>
      <c r="E59" s="482">
        <f>SUM(F59:K59)</f>
        <v>4234.220000000001</v>
      </c>
      <c r="F59" s="482">
        <f aca="true" t="shared" si="14" ref="F59:K59">F51+F47+F44+F41+F39+F29+F21+F11</f>
        <v>791.84</v>
      </c>
      <c r="G59" s="482">
        <f t="shared" si="14"/>
        <v>1092.85</v>
      </c>
      <c r="H59" s="482">
        <f t="shared" si="14"/>
        <v>818.5500000000001</v>
      </c>
      <c r="I59" s="482">
        <f t="shared" si="14"/>
        <v>978.6600000000001</v>
      </c>
      <c r="J59" s="482">
        <f t="shared" si="14"/>
        <v>262.76</v>
      </c>
      <c r="K59" s="648">
        <f t="shared" si="14"/>
        <v>289.56</v>
      </c>
      <c r="L59" s="1031"/>
      <c r="M59" s="1018"/>
      <c r="N59" s="1018"/>
      <c r="O59" s="1018"/>
      <c r="P59" s="1018"/>
      <c r="Q59" s="1018"/>
      <c r="R59" s="907"/>
      <c r="S59" s="782"/>
    </row>
    <row r="60" spans="1:19" ht="12.75" customHeight="1" thickBot="1">
      <c r="A60" s="1018"/>
      <c r="B60" s="1018"/>
      <c r="C60" s="1029"/>
      <c r="D60" s="483" t="s">
        <v>6</v>
      </c>
      <c r="E60" s="484">
        <f>SUM(F60:K60)</f>
        <v>1593</v>
      </c>
      <c r="F60" s="484">
        <f aca="true" t="shared" si="15" ref="F60:K60">F40</f>
        <v>248.6</v>
      </c>
      <c r="G60" s="484">
        <f t="shared" si="15"/>
        <v>278.3</v>
      </c>
      <c r="H60" s="484">
        <f t="shared" si="15"/>
        <v>294</v>
      </c>
      <c r="I60" s="484">
        <f t="shared" si="15"/>
        <v>258.14</v>
      </c>
      <c r="J60" s="484">
        <f t="shared" si="15"/>
        <v>256.98</v>
      </c>
      <c r="K60" s="649">
        <f t="shared" si="15"/>
        <v>256.98</v>
      </c>
      <c r="L60" s="1031"/>
      <c r="M60" s="1018"/>
      <c r="N60" s="1018"/>
      <c r="O60" s="1018"/>
      <c r="P60" s="1018"/>
      <c r="Q60" s="1018"/>
      <c r="R60" s="1006"/>
      <c r="S60" s="782"/>
    </row>
  </sheetData>
  <sheetProtection/>
  <mergeCells count="95">
    <mergeCell ref="S14:S16"/>
    <mergeCell ref="S17:S19"/>
    <mergeCell ref="M17:M19"/>
    <mergeCell ref="N17:N19"/>
    <mergeCell ref="O17:O19"/>
    <mergeCell ref="P17:P19"/>
    <mergeCell ref="Q17:Q19"/>
    <mergeCell ref="R17:R19"/>
    <mergeCell ref="M14:M16"/>
    <mergeCell ref="N14:N16"/>
    <mergeCell ref="O14:O16"/>
    <mergeCell ref="P14:P16"/>
    <mergeCell ref="Q14:Q16"/>
    <mergeCell ref="R14:R16"/>
    <mergeCell ref="T6:T7"/>
    <mergeCell ref="B51:B57"/>
    <mergeCell ref="B47:B49"/>
    <mergeCell ref="B44:B46"/>
    <mergeCell ref="B41:B43"/>
    <mergeCell ref="B35:B37"/>
    <mergeCell ref="B9:S9"/>
    <mergeCell ref="P29:P30"/>
    <mergeCell ref="B28:S28"/>
    <mergeCell ref="Q29:Q30"/>
    <mergeCell ref="L2:S2"/>
    <mergeCell ref="L1:S1"/>
    <mergeCell ref="S6:S7"/>
    <mergeCell ref="I3:S3"/>
    <mergeCell ref="B11:B19"/>
    <mergeCell ref="A4:S4"/>
    <mergeCell ref="A6:A7"/>
    <mergeCell ref="B6:B7"/>
    <mergeCell ref="C6:C7"/>
    <mergeCell ref="E6:J6"/>
    <mergeCell ref="B10:S10"/>
    <mergeCell ref="D22:D25"/>
    <mergeCell ref="C11:C13"/>
    <mergeCell ref="B20:S20"/>
    <mergeCell ref="B21:B27"/>
    <mergeCell ref="L6:R6"/>
    <mergeCell ref="D6:D7"/>
    <mergeCell ref="S21:S27"/>
    <mergeCell ref="A29:A33"/>
    <mergeCell ref="B29:B33"/>
    <mergeCell ref="C29:C33"/>
    <mergeCell ref="A38:A40"/>
    <mergeCell ref="B38:B40"/>
    <mergeCell ref="B34:S34"/>
    <mergeCell ref="S29:S33"/>
    <mergeCell ref="M29:M30"/>
    <mergeCell ref="O29:O30"/>
    <mergeCell ref="A21:A27"/>
    <mergeCell ref="C21:C27"/>
    <mergeCell ref="L21:L27"/>
    <mergeCell ref="A11:A13"/>
    <mergeCell ref="I22:I23"/>
    <mergeCell ref="E22:E23"/>
    <mergeCell ref="J22:J23"/>
    <mergeCell ref="K22:K23"/>
    <mergeCell ref="L29:L30"/>
    <mergeCell ref="A58:A60"/>
    <mergeCell ref="B58:B60"/>
    <mergeCell ref="C58:C60"/>
    <mergeCell ref="L58:L60"/>
    <mergeCell ref="M58:M60"/>
    <mergeCell ref="N58:N60"/>
    <mergeCell ref="S58:S60"/>
    <mergeCell ref="S35:S37"/>
    <mergeCell ref="O58:O60"/>
    <mergeCell ref="L44:L46"/>
    <mergeCell ref="L14:L19"/>
    <mergeCell ref="P58:P60"/>
    <mergeCell ref="L51:L57"/>
    <mergeCell ref="S38:S40"/>
    <mergeCell ref="N29:N30"/>
    <mergeCell ref="R58:R60"/>
    <mergeCell ref="D52:D55"/>
    <mergeCell ref="L31:L33"/>
    <mergeCell ref="E52:E55"/>
    <mergeCell ref="Q58:Q60"/>
    <mergeCell ref="L38:L40"/>
    <mergeCell ref="L35:L37"/>
    <mergeCell ref="J52:J55"/>
    <mergeCell ref="I52:I55"/>
    <mergeCell ref="K52:K55"/>
    <mergeCell ref="R29:R30"/>
    <mergeCell ref="C51:C55"/>
    <mergeCell ref="B50:S50"/>
    <mergeCell ref="S44:S46"/>
    <mergeCell ref="L41:L43"/>
    <mergeCell ref="S41:S43"/>
    <mergeCell ref="S51:S57"/>
    <mergeCell ref="C35:C49"/>
    <mergeCell ref="L47:L49"/>
    <mergeCell ref="S47:S49"/>
  </mergeCells>
  <printOptions horizontalCentered="1"/>
  <pageMargins left="0.2362204724409449" right="0.2362204724409449" top="1.141732283464567" bottom="0.35433070866141736" header="0" footer="0"/>
  <pageSetup fitToHeight="4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45"/>
  <sheetViews>
    <sheetView zoomScaleSheetLayoutView="100" workbookViewId="0" topLeftCell="A1">
      <pane ySplit="7" topLeftCell="A32" activePane="bottomLeft" state="frozen"/>
      <selection pane="topLeft" activeCell="A1" sqref="A1"/>
      <selection pane="bottomLeft" activeCell="C46" sqref="C46"/>
    </sheetView>
  </sheetViews>
  <sheetFormatPr defaultColWidth="19.57421875" defaultRowHeight="18.75" customHeight="1"/>
  <cols>
    <col min="1" max="1" width="6.421875" style="2" customWidth="1"/>
    <col min="2" max="2" width="24.57421875" style="1" customWidth="1"/>
    <col min="3" max="3" width="8.421875" style="1" customWidth="1"/>
    <col min="4" max="4" width="8.00390625" style="1" customWidth="1"/>
    <col min="5" max="5" width="8.421875" style="3" customWidth="1"/>
    <col min="6" max="6" width="7.421875" style="3" customWidth="1"/>
    <col min="7" max="7" width="8.140625" style="3" customWidth="1"/>
    <col min="8" max="10" width="8.421875" style="3" customWidth="1"/>
    <col min="11" max="11" width="16.8515625" style="4" customWidth="1"/>
    <col min="12" max="16" width="5.00390625" style="3" customWidth="1"/>
    <col min="17" max="17" width="21.8515625" style="1" customWidth="1"/>
    <col min="18" max="16384" width="19.57421875" style="1" customWidth="1"/>
  </cols>
  <sheetData>
    <row r="1" spans="1:17" ht="51.75" customHeight="1">
      <c r="A1" s="25"/>
      <c r="B1" s="11"/>
      <c r="C1" s="11"/>
      <c r="D1" s="11"/>
      <c r="E1" s="26"/>
      <c r="F1" s="26"/>
      <c r="G1" s="26"/>
      <c r="H1" s="786" t="s">
        <v>302</v>
      </c>
      <c r="I1" s="786"/>
      <c r="J1" s="786"/>
      <c r="K1" s="786"/>
      <c r="L1" s="786"/>
      <c r="M1" s="786"/>
      <c r="N1" s="786"/>
      <c r="O1" s="786"/>
      <c r="P1" s="786"/>
      <c r="Q1" s="786"/>
    </row>
    <row r="2" spans="1:17" ht="29.25" customHeight="1">
      <c r="A2" s="787" t="s">
        <v>158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787"/>
    </row>
    <row r="3" spans="1:17" ht="11.25" customHeight="1">
      <c r="A3" s="25"/>
      <c r="B3" s="11"/>
      <c r="C3" s="11"/>
      <c r="D3" s="11"/>
      <c r="E3" s="26"/>
      <c r="F3" s="26"/>
      <c r="G3" s="26"/>
      <c r="H3" s="26"/>
      <c r="I3" s="26"/>
      <c r="J3" s="26"/>
      <c r="K3" s="27"/>
      <c r="L3" s="26"/>
      <c r="M3" s="26"/>
      <c r="N3" s="26"/>
      <c r="O3" s="26"/>
      <c r="P3" s="26"/>
      <c r="Q3" s="12" t="s">
        <v>7</v>
      </c>
    </row>
    <row r="4" spans="1:17" ht="30" customHeight="1">
      <c r="A4" s="788" t="s">
        <v>16</v>
      </c>
      <c r="B4" s="776" t="s">
        <v>15</v>
      </c>
      <c r="C4" s="788" t="s">
        <v>8</v>
      </c>
      <c r="D4" s="788" t="s">
        <v>9</v>
      </c>
      <c r="E4" s="778" t="s">
        <v>0</v>
      </c>
      <c r="F4" s="779"/>
      <c r="G4" s="779"/>
      <c r="H4" s="779"/>
      <c r="I4" s="779"/>
      <c r="J4" s="780"/>
      <c r="K4" s="778" t="s">
        <v>17</v>
      </c>
      <c r="L4" s="779"/>
      <c r="M4" s="779"/>
      <c r="N4" s="779"/>
      <c r="O4" s="779"/>
      <c r="P4" s="780"/>
      <c r="Q4" s="776" t="s">
        <v>163</v>
      </c>
    </row>
    <row r="5" spans="1:17" ht="13.5" customHeight="1">
      <c r="A5" s="788"/>
      <c r="B5" s="777"/>
      <c r="C5" s="788"/>
      <c r="D5" s="788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777"/>
    </row>
    <row r="6" spans="1:17" ht="11.2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</row>
    <row r="7" spans="1:17" ht="14.25" customHeight="1">
      <c r="A7" s="13"/>
      <c r="B7" s="782" t="s">
        <v>18</v>
      </c>
      <c r="C7" s="782"/>
      <c r="D7" s="782"/>
      <c r="E7" s="782"/>
      <c r="F7" s="782"/>
      <c r="G7" s="782"/>
      <c r="H7" s="782"/>
      <c r="I7" s="782"/>
      <c r="J7" s="782"/>
      <c r="K7" s="782"/>
      <c r="L7" s="782"/>
      <c r="M7" s="782"/>
      <c r="N7" s="782"/>
      <c r="O7" s="782"/>
      <c r="P7" s="782"/>
      <c r="Q7" s="782"/>
    </row>
    <row r="8" spans="1:17" ht="14.25" customHeight="1">
      <c r="A8" s="21" t="s">
        <v>72</v>
      </c>
      <c r="B8" s="1005" t="s">
        <v>73</v>
      </c>
      <c r="C8" s="1005"/>
      <c r="D8" s="1005"/>
      <c r="E8" s="1005"/>
      <c r="F8" s="1005"/>
      <c r="G8" s="1005"/>
      <c r="H8" s="1005"/>
      <c r="I8" s="1005"/>
      <c r="J8" s="1005"/>
      <c r="K8" s="1005"/>
      <c r="L8" s="1005"/>
      <c r="M8" s="1005"/>
      <c r="N8" s="1005"/>
      <c r="O8" s="1005"/>
      <c r="P8" s="1005"/>
      <c r="Q8" s="1005"/>
    </row>
    <row r="9" spans="1:17" ht="18.75" customHeight="1">
      <c r="A9" s="1010" t="s">
        <v>10</v>
      </c>
      <c r="B9" s="1039" t="s">
        <v>198</v>
      </c>
      <c r="C9" s="906" t="s">
        <v>162</v>
      </c>
      <c r="D9" s="117" t="s">
        <v>215</v>
      </c>
      <c r="E9" s="110">
        <f aca="true" t="shared" si="0" ref="E9:J9">SUM(E10:E11)</f>
        <v>66</v>
      </c>
      <c r="F9" s="110">
        <f t="shared" si="0"/>
        <v>14</v>
      </c>
      <c r="G9" s="110">
        <f t="shared" si="0"/>
        <v>10</v>
      </c>
      <c r="H9" s="110">
        <f t="shared" si="0"/>
        <v>14</v>
      </c>
      <c r="I9" s="110">
        <f t="shared" si="0"/>
        <v>14</v>
      </c>
      <c r="J9" s="110">
        <f t="shared" si="0"/>
        <v>14</v>
      </c>
      <c r="K9" s="945" t="s">
        <v>229</v>
      </c>
      <c r="L9" s="131"/>
      <c r="M9" s="131"/>
      <c r="N9" s="131"/>
      <c r="O9" s="131"/>
      <c r="P9" s="131"/>
      <c r="Q9" s="113"/>
    </row>
    <row r="10" spans="1:17" ht="12" customHeight="1">
      <c r="A10" s="1064"/>
      <c r="B10" s="1056"/>
      <c r="C10" s="940"/>
      <c r="D10" s="906" t="s">
        <v>214</v>
      </c>
      <c r="E10" s="110">
        <f>SUM(F10:J10)</f>
        <v>24</v>
      </c>
      <c r="F10" s="105">
        <v>14</v>
      </c>
      <c r="G10" s="105">
        <v>10</v>
      </c>
      <c r="H10" s="105">
        <v>0</v>
      </c>
      <c r="I10" s="105">
        <v>0</v>
      </c>
      <c r="J10" s="105">
        <v>0</v>
      </c>
      <c r="K10" s="964"/>
      <c r="L10" s="132">
        <v>100</v>
      </c>
      <c r="M10" s="132">
        <v>100</v>
      </c>
      <c r="N10" s="132">
        <v>0</v>
      </c>
      <c r="O10" s="132">
        <v>0</v>
      </c>
      <c r="P10" s="132">
        <v>0</v>
      </c>
      <c r="Q10" s="107" t="s">
        <v>74</v>
      </c>
    </row>
    <row r="11" spans="1:17" ht="24" customHeight="1">
      <c r="A11" s="1064"/>
      <c r="B11" s="1056"/>
      <c r="C11" s="940"/>
      <c r="D11" s="1006"/>
      <c r="E11" s="110">
        <f>SUM(F11:J11)</f>
        <v>42</v>
      </c>
      <c r="F11" s="110">
        <v>0</v>
      </c>
      <c r="G11" s="110">
        <f>10-10</f>
        <v>0</v>
      </c>
      <c r="H11" s="110">
        <v>14</v>
      </c>
      <c r="I11" s="110">
        <v>14</v>
      </c>
      <c r="J11" s="110">
        <v>14</v>
      </c>
      <c r="K11" s="965"/>
      <c r="L11" s="132">
        <v>0</v>
      </c>
      <c r="M11" s="132">
        <v>0</v>
      </c>
      <c r="N11" s="132">
        <v>100</v>
      </c>
      <c r="O11" s="132">
        <v>100</v>
      </c>
      <c r="P11" s="132">
        <v>100</v>
      </c>
      <c r="Q11" s="111" t="s">
        <v>135</v>
      </c>
    </row>
    <row r="12" spans="1:17" ht="18.75" customHeight="1">
      <c r="A12" s="1059"/>
      <c r="B12" s="1059" t="s">
        <v>23</v>
      </c>
      <c r="C12" s="1059"/>
      <c r="D12" s="127" t="s">
        <v>215</v>
      </c>
      <c r="E12" s="124">
        <f aca="true" t="shared" si="1" ref="E12:J12">E9</f>
        <v>66</v>
      </c>
      <c r="F12" s="124">
        <f t="shared" si="1"/>
        <v>14</v>
      </c>
      <c r="G12" s="124">
        <f t="shared" si="1"/>
        <v>10</v>
      </c>
      <c r="H12" s="124">
        <f t="shared" si="1"/>
        <v>14</v>
      </c>
      <c r="I12" s="124">
        <f t="shared" si="1"/>
        <v>14</v>
      </c>
      <c r="J12" s="124">
        <f t="shared" si="1"/>
        <v>14</v>
      </c>
      <c r="K12" s="1058"/>
      <c r="L12" s="1058"/>
      <c r="M12" s="1058"/>
      <c r="N12" s="1058"/>
      <c r="O12" s="1058"/>
      <c r="P12" s="1058"/>
      <c r="Q12" s="1058"/>
    </row>
    <row r="13" spans="1:17" ht="9.75" customHeight="1">
      <c r="A13" s="1060"/>
      <c r="B13" s="1060"/>
      <c r="C13" s="1060"/>
      <c r="D13" s="126" t="s">
        <v>5</v>
      </c>
      <c r="E13" s="124">
        <f aca="true" t="shared" si="2" ref="E13:J13">E12</f>
        <v>66</v>
      </c>
      <c r="F13" s="124">
        <f t="shared" si="2"/>
        <v>14</v>
      </c>
      <c r="G13" s="124">
        <f t="shared" si="2"/>
        <v>10</v>
      </c>
      <c r="H13" s="124">
        <f t="shared" si="2"/>
        <v>14</v>
      </c>
      <c r="I13" s="124">
        <f t="shared" si="2"/>
        <v>14</v>
      </c>
      <c r="J13" s="124">
        <f t="shared" si="2"/>
        <v>14</v>
      </c>
      <c r="K13" s="964"/>
      <c r="L13" s="964"/>
      <c r="M13" s="964"/>
      <c r="N13" s="964"/>
      <c r="O13" s="964"/>
      <c r="P13" s="964"/>
      <c r="Q13" s="964"/>
    </row>
    <row r="14" spans="1:17" ht="9" customHeight="1">
      <c r="A14" s="1060"/>
      <c r="B14" s="1060"/>
      <c r="C14" s="1060"/>
      <c r="D14" s="126" t="s">
        <v>6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965"/>
      <c r="L14" s="965"/>
      <c r="M14" s="965"/>
      <c r="N14" s="965"/>
      <c r="O14" s="965"/>
      <c r="P14" s="965"/>
      <c r="Q14" s="965"/>
    </row>
    <row r="15" spans="1:17" ht="13.5" customHeight="1">
      <c r="A15" s="21" t="s">
        <v>24</v>
      </c>
      <c r="B15" s="1005" t="s">
        <v>76</v>
      </c>
      <c r="C15" s="1005"/>
      <c r="D15" s="1005"/>
      <c r="E15" s="1005"/>
      <c r="F15" s="1005"/>
      <c r="G15" s="1005"/>
      <c r="H15" s="1005"/>
      <c r="I15" s="1005"/>
      <c r="J15" s="1005"/>
      <c r="K15" s="1005"/>
      <c r="L15" s="1005"/>
      <c r="M15" s="1005"/>
      <c r="N15" s="1005"/>
      <c r="O15" s="1005"/>
      <c r="P15" s="1005"/>
      <c r="Q15" s="1005"/>
    </row>
    <row r="16" spans="1:17" ht="24" customHeight="1">
      <c r="A16" s="1010" t="s">
        <v>26</v>
      </c>
      <c r="B16" s="1039" t="s">
        <v>200</v>
      </c>
      <c r="C16" s="906" t="s">
        <v>162</v>
      </c>
      <c r="D16" s="117" t="s">
        <v>215</v>
      </c>
      <c r="E16" s="110">
        <f aca="true" t="shared" si="3" ref="E16:J16">SUM(E17:E20)</f>
        <v>273</v>
      </c>
      <c r="F16" s="110">
        <f t="shared" si="3"/>
        <v>57</v>
      </c>
      <c r="G16" s="110">
        <f t="shared" si="3"/>
        <v>45</v>
      </c>
      <c r="H16" s="110">
        <f t="shared" si="3"/>
        <v>57</v>
      </c>
      <c r="I16" s="110">
        <f t="shared" si="3"/>
        <v>57</v>
      </c>
      <c r="J16" s="110">
        <f t="shared" si="3"/>
        <v>57</v>
      </c>
      <c r="K16" s="945" t="s">
        <v>230</v>
      </c>
      <c r="L16" s="131"/>
      <c r="M16" s="131"/>
      <c r="N16" s="131"/>
      <c r="O16" s="131"/>
      <c r="P16" s="131"/>
      <c r="Q16" s="117"/>
    </row>
    <row r="17" spans="1:17" ht="6" customHeight="1">
      <c r="A17" s="1064"/>
      <c r="B17" s="1056"/>
      <c r="C17" s="940"/>
      <c r="D17" s="906" t="s">
        <v>217</v>
      </c>
      <c r="E17" s="951">
        <f>SUM(F17:J18)</f>
        <v>80</v>
      </c>
      <c r="F17" s="951">
        <v>35</v>
      </c>
      <c r="G17" s="951">
        <v>45</v>
      </c>
      <c r="H17" s="951">
        <v>0</v>
      </c>
      <c r="I17" s="951">
        <v>0</v>
      </c>
      <c r="J17" s="951">
        <v>0</v>
      </c>
      <c r="K17" s="964"/>
      <c r="L17" s="1062">
        <v>100</v>
      </c>
      <c r="M17" s="1062">
        <v>100</v>
      </c>
      <c r="N17" s="1062">
        <v>0</v>
      </c>
      <c r="O17" s="1062">
        <v>0</v>
      </c>
      <c r="P17" s="1062">
        <v>0</v>
      </c>
      <c r="Q17" s="1024" t="s">
        <v>74</v>
      </c>
    </row>
    <row r="18" spans="1:17" ht="6.75" customHeight="1">
      <c r="A18" s="1064"/>
      <c r="B18" s="1056"/>
      <c r="C18" s="940"/>
      <c r="D18" s="907"/>
      <c r="E18" s="952"/>
      <c r="F18" s="952"/>
      <c r="G18" s="952"/>
      <c r="H18" s="952"/>
      <c r="I18" s="952"/>
      <c r="J18" s="952"/>
      <c r="K18" s="964"/>
      <c r="L18" s="1033"/>
      <c r="M18" s="1033"/>
      <c r="N18" s="1033"/>
      <c r="O18" s="1033"/>
      <c r="P18" s="1033"/>
      <c r="Q18" s="1026"/>
    </row>
    <row r="19" spans="1:17" ht="15" customHeight="1">
      <c r="A19" s="1064"/>
      <c r="B19" s="1056"/>
      <c r="C19" s="940"/>
      <c r="D19" s="907"/>
      <c r="E19" s="106">
        <f>SUM(F19:J19)</f>
        <v>22</v>
      </c>
      <c r="F19" s="106">
        <v>22</v>
      </c>
      <c r="G19" s="106">
        <v>0</v>
      </c>
      <c r="H19" s="106">
        <v>0</v>
      </c>
      <c r="I19" s="106">
        <v>0</v>
      </c>
      <c r="J19" s="106">
        <v>0</v>
      </c>
      <c r="K19" s="964"/>
      <c r="L19" s="133">
        <v>100</v>
      </c>
      <c r="M19" s="133">
        <v>0</v>
      </c>
      <c r="N19" s="133">
        <v>0</v>
      </c>
      <c r="O19" s="133">
        <v>0</v>
      </c>
      <c r="P19" s="133">
        <v>0</v>
      </c>
      <c r="Q19" s="17" t="s">
        <v>51</v>
      </c>
    </row>
    <row r="20" spans="1:17" ht="22.5" customHeight="1">
      <c r="A20" s="1065"/>
      <c r="B20" s="1057"/>
      <c r="C20" s="941"/>
      <c r="D20" s="1006"/>
      <c r="E20" s="31">
        <f>SUM(F20:J20)</f>
        <v>171</v>
      </c>
      <c r="F20" s="31">
        <v>0</v>
      </c>
      <c r="G20" s="31">
        <f>45-45</f>
        <v>0</v>
      </c>
      <c r="H20" s="31">
        <v>57</v>
      </c>
      <c r="I20" s="73">
        <v>57</v>
      </c>
      <c r="J20" s="73">
        <v>57</v>
      </c>
      <c r="K20" s="965"/>
      <c r="L20" s="133">
        <v>0</v>
      </c>
      <c r="M20" s="133">
        <v>0</v>
      </c>
      <c r="N20" s="133">
        <v>100</v>
      </c>
      <c r="O20" s="133">
        <v>100</v>
      </c>
      <c r="P20" s="133">
        <v>100</v>
      </c>
      <c r="Q20" s="17" t="s">
        <v>135</v>
      </c>
    </row>
    <row r="21" spans="1:17" ht="22.5" customHeight="1">
      <c r="A21" s="1059"/>
      <c r="B21" s="1059" t="s">
        <v>43</v>
      </c>
      <c r="C21" s="1059"/>
      <c r="D21" s="127" t="s">
        <v>215</v>
      </c>
      <c r="E21" s="125">
        <f aca="true" t="shared" si="4" ref="E21:J21">E16</f>
        <v>273</v>
      </c>
      <c r="F21" s="125">
        <f t="shared" si="4"/>
        <v>57</v>
      </c>
      <c r="G21" s="125">
        <f t="shared" si="4"/>
        <v>45</v>
      </c>
      <c r="H21" s="125">
        <f t="shared" si="4"/>
        <v>57</v>
      </c>
      <c r="I21" s="125">
        <f t="shared" si="4"/>
        <v>57</v>
      </c>
      <c r="J21" s="125">
        <f t="shared" si="4"/>
        <v>57</v>
      </c>
      <c r="K21" s="1059"/>
      <c r="L21" s="1059"/>
      <c r="M21" s="1059"/>
      <c r="N21" s="1059"/>
      <c r="O21" s="1059"/>
      <c r="P21" s="1059"/>
      <c r="Q21" s="1059"/>
    </row>
    <row r="22" spans="1:17" ht="15" customHeight="1">
      <c r="A22" s="1060"/>
      <c r="B22" s="1060"/>
      <c r="C22" s="1060"/>
      <c r="D22" s="126" t="s">
        <v>5</v>
      </c>
      <c r="E22" s="125">
        <f aca="true" t="shared" si="5" ref="E22:J22">E21</f>
        <v>273</v>
      </c>
      <c r="F22" s="125">
        <f t="shared" si="5"/>
        <v>57</v>
      </c>
      <c r="G22" s="125">
        <f t="shared" si="5"/>
        <v>45</v>
      </c>
      <c r="H22" s="125">
        <f t="shared" si="5"/>
        <v>57</v>
      </c>
      <c r="I22" s="125">
        <f t="shared" si="5"/>
        <v>57</v>
      </c>
      <c r="J22" s="125">
        <f t="shared" si="5"/>
        <v>57</v>
      </c>
      <c r="K22" s="1060"/>
      <c r="L22" s="1060"/>
      <c r="M22" s="1060"/>
      <c r="N22" s="1060"/>
      <c r="O22" s="1060"/>
      <c r="P22" s="1060"/>
      <c r="Q22" s="1060"/>
    </row>
    <row r="23" spans="1:17" ht="12" customHeight="1">
      <c r="A23" s="1060"/>
      <c r="B23" s="1060"/>
      <c r="C23" s="1060"/>
      <c r="D23" s="126" t="s">
        <v>6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060"/>
      <c r="L23" s="1060"/>
      <c r="M23" s="1060"/>
      <c r="N23" s="1060"/>
      <c r="O23" s="1060"/>
      <c r="P23" s="1060"/>
      <c r="Q23" s="1060"/>
    </row>
    <row r="24" spans="1:17" ht="12" customHeight="1">
      <c r="A24" s="21" t="s">
        <v>28</v>
      </c>
      <c r="B24" s="1005" t="s">
        <v>77</v>
      </c>
      <c r="C24" s="1005"/>
      <c r="D24" s="1005"/>
      <c r="E24" s="1005"/>
      <c r="F24" s="1005"/>
      <c r="G24" s="1005"/>
      <c r="H24" s="1005"/>
      <c r="I24" s="1005"/>
      <c r="J24" s="1005"/>
      <c r="K24" s="1005"/>
      <c r="L24" s="1005"/>
      <c r="M24" s="1005"/>
      <c r="N24" s="1005"/>
      <c r="O24" s="1005"/>
      <c r="P24" s="1005"/>
      <c r="Q24" s="1005"/>
    </row>
    <row r="25" spans="1:17" ht="19.5" customHeight="1">
      <c r="A25" s="1010" t="s">
        <v>30</v>
      </c>
      <c r="B25" s="1039" t="s">
        <v>199</v>
      </c>
      <c r="C25" s="906" t="s">
        <v>162</v>
      </c>
      <c r="D25" s="117" t="s">
        <v>215</v>
      </c>
      <c r="E25" s="110">
        <f aca="true" t="shared" si="6" ref="E25:J25">SUM(E26:E30)</f>
        <v>120</v>
      </c>
      <c r="F25" s="110">
        <f t="shared" si="6"/>
        <v>24.5</v>
      </c>
      <c r="G25" s="110">
        <f t="shared" si="6"/>
        <v>22</v>
      </c>
      <c r="H25" s="110">
        <f t="shared" si="6"/>
        <v>24.5</v>
      </c>
      <c r="I25" s="110">
        <f t="shared" si="6"/>
        <v>24.5</v>
      </c>
      <c r="J25" s="110">
        <f t="shared" si="6"/>
        <v>24.5</v>
      </c>
      <c r="K25" s="945" t="s">
        <v>231</v>
      </c>
      <c r="L25" s="131"/>
      <c r="M25" s="131"/>
      <c r="N25" s="131"/>
      <c r="O25" s="131"/>
      <c r="P25" s="131"/>
      <c r="Q25" s="117"/>
    </row>
    <row r="26" spans="1:17" ht="8.25" customHeight="1">
      <c r="A26" s="1064"/>
      <c r="B26" s="1056"/>
      <c r="C26" s="940"/>
      <c r="D26" s="906" t="s">
        <v>218</v>
      </c>
      <c r="E26" s="951">
        <f>SUM(F26:J27)</f>
        <v>32</v>
      </c>
      <c r="F26" s="951">
        <v>10</v>
      </c>
      <c r="G26" s="951">
        <v>22</v>
      </c>
      <c r="H26" s="951">
        <v>0</v>
      </c>
      <c r="I26" s="951">
        <v>0</v>
      </c>
      <c r="J26" s="951">
        <v>0</v>
      </c>
      <c r="K26" s="964"/>
      <c r="L26" s="1062">
        <v>100</v>
      </c>
      <c r="M26" s="1062">
        <v>100</v>
      </c>
      <c r="N26" s="1067">
        <v>0</v>
      </c>
      <c r="O26" s="1067">
        <v>0</v>
      </c>
      <c r="P26" s="1067">
        <v>0</v>
      </c>
      <c r="Q26" s="1024" t="s">
        <v>74</v>
      </c>
    </row>
    <row r="27" spans="1:17" ht="5.25" customHeight="1">
      <c r="A27" s="1064"/>
      <c r="B27" s="1056"/>
      <c r="C27" s="940"/>
      <c r="D27" s="907"/>
      <c r="E27" s="952"/>
      <c r="F27" s="952"/>
      <c r="G27" s="952"/>
      <c r="H27" s="952"/>
      <c r="I27" s="952"/>
      <c r="J27" s="952"/>
      <c r="K27" s="964"/>
      <c r="L27" s="1033"/>
      <c r="M27" s="1033"/>
      <c r="N27" s="1067"/>
      <c r="O27" s="1067"/>
      <c r="P27" s="1067"/>
      <c r="Q27" s="1026"/>
    </row>
    <row r="28" spans="1:17" ht="13.5" customHeight="1">
      <c r="A28" s="1064"/>
      <c r="B28" s="1056"/>
      <c r="C28" s="940"/>
      <c r="D28" s="907"/>
      <c r="E28" s="30">
        <f>SUM(F28:J28)</f>
        <v>6</v>
      </c>
      <c r="F28" s="30">
        <v>6</v>
      </c>
      <c r="G28" s="30">
        <v>0</v>
      </c>
      <c r="H28" s="30">
        <v>0</v>
      </c>
      <c r="I28" s="72">
        <v>0</v>
      </c>
      <c r="J28" s="72">
        <v>0</v>
      </c>
      <c r="K28" s="964"/>
      <c r="L28" s="133">
        <v>100</v>
      </c>
      <c r="M28" s="133">
        <v>0</v>
      </c>
      <c r="N28" s="133">
        <v>0</v>
      </c>
      <c r="O28" s="133">
        <v>0</v>
      </c>
      <c r="P28" s="133">
        <v>0</v>
      </c>
      <c r="Q28" s="87" t="s">
        <v>137</v>
      </c>
    </row>
    <row r="29" spans="1:17" ht="13.5" customHeight="1">
      <c r="A29" s="1064"/>
      <c r="B29" s="1056"/>
      <c r="C29" s="940"/>
      <c r="D29" s="907"/>
      <c r="E29" s="105">
        <f>SUM(F29:J29)</f>
        <v>8.5</v>
      </c>
      <c r="F29" s="105">
        <v>8.5</v>
      </c>
      <c r="G29" s="105">
        <v>0</v>
      </c>
      <c r="H29" s="105">
        <v>0</v>
      </c>
      <c r="I29" s="105">
        <v>0</v>
      </c>
      <c r="J29" s="105">
        <v>0</v>
      </c>
      <c r="K29" s="964"/>
      <c r="L29" s="133">
        <v>100</v>
      </c>
      <c r="M29" s="133">
        <v>0</v>
      </c>
      <c r="N29" s="133">
        <v>0</v>
      </c>
      <c r="O29" s="133">
        <v>0</v>
      </c>
      <c r="P29" s="133">
        <v>0</v>
      </c>
      <c r="Q29" s="108" t="s">
        <v>51</v>
      </c>
    </row>
    <row r="30" spans="1:17" ht="21" customHeight="1">
      <c r="A30" s="1065"/>
      <c r="B30" s="1057"/>
      <c r="C30" s="941"/>
      <c r="D30" s="1006"/>
      <c r="E30" s="72">
        <f>SUM(F30:J30)</f>
        <v>73.5</v>
      </c>
      <c r="F30" s="30">
        <v>0</v>
      </c>
      <c r="G30" s="30">
        <f>22-22</f>
        <v>0</v>
      </c>
      <c r="H30" s="30">
        <v>24.5</v>
      </c>
      <c r="I30" s="72">
        <v>24.5</v>
      </c>
      <c r="J30" s="72">
        <v>24.5</v>
      </c>
      <c r="K30" s="965"/>
      <c r="L30" s="133">
        <v>0</v>
      </c>
      <c r="M30" s="133">
        <v>0</v>
      </c>
      <c r="N30" s="133">
        <v>100</v>
      </c>
      <c r="O30" s="133">
        <v>100</v>
      </c>
      <c r="P30" s="133">
        <v>100</v>
      </c>
      <c r="Q30" s="17" t="s">
        <v>135</v>
      </c>
    </row>
    <row r="31" spans="1:17" ht="21" customHeight="1">
      <c r="A31" s="1059"/>
      <c r="B31" s="1059" t="s">
        <v>33</v>
      </c>
      <c r="C31" s="1059"/>
      <c r="D31" s="127" t="s">
        <v>215</v>
      </c>
      <c r="E31" s="124">
        <f aca="true" t="shared" si="7" ref="E31:J31">E25</f>
        <v>120</v>
      </c>
      <c r="F31" s="124">
        <f t="shared" si="7"/>
        <v>24.5</v>
      </c>
      <c r="G31" s="124">
        <f t="shared" si="7"/>
        <v>22</v>
      </c>
      <c r="H31" s="124">
        <f t="shared" si="7"/>
        <v>24.5</v>
      </c>
      <c r="I31" s="124">
        <f t="shared" si="7"/>
        <v>24.5</v>
      </c>
      <c r="J31" s="124">
        <f t="shared" si="7"/>
        <v>24.5</v>
      </c>
      <c r="K31" s="1059"/>
      <c r="L31" s="1059"/>
      <c r="M31" s="1059"/>
      <c r="N31" s="1059"/>
      <c r="O31" s="1059"/>
      <c r="P31" s="1059"/>
      <c r="Q31" s="1059"/>
    </row>
    <row r="32" spans="1:17" ht="10.5" customHeight="1">
      <c r="A32" s="1060"/>
      <c r="B32" s="1060"/>
      <c r="C32" s="1060"/>
      <c r="D32" s="126" t="s">
        <v>5</v>
      </c>
      <c r="E32" s="124">
        <f aca="true" t="shared" si="8" ref="E32:J32">E31</f>
        <v>120</v>
      </c>
      <c r="F32" s="124">
        <f t="shared" si="8"/>
        <v>24.5</v>
      </c>
      <c r="G32" s="124">
        <f t="shared" si="8"/>
        <v>22</v>
      </c>
      <c r="H32" s="124">
        <f t="shared" si="8"/>
        <v>24.5</v>
      </c>
      <c r="I32" s="124">
        <f t="shared" si="8"/>
        <v>24.5</v>
      </c>
      <c r="J32" s="124">
        <f t="shared" si="8"/>
        <v>24.5</v>
      </c>
      <c r="K32" s="1060"/>
      <c r="L32" s="1060"/>
      <c r="M32" s="1060"/>
      <c r="N32" s="1060"/>
      <c r="O32" s="1060"/>
      <c r="P32" s="1060"/>
      <c r="Q32" s="1060"/>
    </row>
    <row r="33" spans="1:17" ht="13.5" customHeight="1">
      <c r="A33" s="1060"/>
      <c r="B33" s="1060"/>
      <c r="C33" s="1060"/>
      <c r="D33" s="126" t="s">
        <v>6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060"/>
      <c r="L33" s="1060"/>
      <c r="M33" s="1060"/>
      <c r="N33" s="1060"/>
      <c r="O33" s="1060"/>
      <c r="P33" s="1060"/>
      <c r="Q33" s="1060"/>
    </row>
    <row r="34" spans="1:17" ht="12.75" customHeight="1">
      <c r="A34" s="21" t="s">
        <v>34</v>
      </c>
      <c r="B34" s="1005" t="s">
        <v>78</v>
      </c>
      <c r="C34" s="1005"/>
      <c r="D34" s="1005"/>
      <c r="E34" s="1005"/>
      <c r="F34" s="1005"/>
      <c r="G34" s="1005"/>
      <c r="H34" s="1005"/>
      <c r="I34" s="1005"/>
      <c r="J34" s="1005"/>
      <c r="K34" s="1005"/>
      <c r="L34" s="1005"/>
      <c r="M34" s="1005"/>
      <c r="N34" s="1005"/>
      <c r="O34" s="1005"/>
      <c r="P34" s="1005"/>
      <c r="Q34" s="1005"/>
    </row>
    <row r="35" spans="1:17" ht="23.25" customHeight="1">
      <c r="A35" s="116"/>
      <c r="B35" s="117"/>
      <c r="C35" s="117"/>
      <c r="D35" s="117" t="s">
        <v>215</v>
      </c>
      <c r="E35" s="110">
        <f aca="true" t="shared" si="9" ref="E35:J35">SUM(E36:E39)</f>
        <v>261</v>
      </c>
      <c r="F35" s="110">
        <f t="shared" si="9"/>
        <v>54.5</v>
      </c>
      <c r="G35" s="110">
        <f t="shared" si="9"/>
        <v>43</v>
      </c>
      <c r="H35" s="110">
        <f t="shared" si="9"/>
        <v>54.5</v>
      </c>
      <c r="I35" s="110">
        <f t="shared" si="9"/>
        <v>54.5</v>
      </c>
      <c r="J35" s="110">
        <f t="shared" si="9"/>
        <v>54.5</v>
      </c>
      <c r="K35" s="945" t="s">
        <v>230</v>
      </c>
      <c r="L35" s="131"/>
      <c r="M35" s="131"/>
      <c r="N35" s="131"/>
      <c r="O35" s="131"/>
      <c r="P35" s="131"/>
      <c r="Q35" s="113"/>
    </row>
    <row r="36" spans="1:17" ht="13.5" customHeight="1">
      <c r="A36" s="1010" t="s">
        <v>36</v>
      </c>
      <c r="B36" s="1039" t="s">
        <v>201</v>
      </c>
      <c r="C36" s="945" t="s">
        <v>162</v>
      </c>
      <c r="D36" s="906" t="s">
        <v>214</v>
      </c>
      <c r="E36" s="112">
        <f>SUM(F36:J36)</f>
        <v>11</v>
      </c>
      <c r="F36" s="112">
        <v>11</v>
      </c>
      <c r="G36" s="112">
        <v>0</v>
      </c>
      <c r="H36" s="112">
        <v>0</v>
      </c>
      <c r="I36" s="112">
        <v>0</v>
      </c>
      <c r="J36" s="112">
        <v>0</v>
      </c>
      <c r="K36" s="964"/>
      <c r="L36" s="133">
        <v>100</v>
      </c>
      <c r="M36" s="133">
        <v>0</v>
      </c>
      <c r="N36" s="133">
        <v>0</v>
      </c>
      <c r="O36" s="133">
        <v>0</v>
      </c>
      <c r="P36" s="133">
        <v>0</v>
      </c>
      <c r="Q36" s="101" t="s">
        <v>51</v>
      </c>
    </row>
    <row r="37" spans="1:17" ht="11.25" customHeight="1">
      <c r="A37" s="1022"/>
      <c r="B37" s="1040"/>
      <c r="C37" s="957"/>
      <c r="D37" s="907"/>
      <c r="E37" s="112">
        <f>SUM(F37:J37)</f>
        <v>86.5</v>
      </c>
      <c r="F37" s="112">
        <v>43.5</v>
      </c>
      <c r="G37" s="112">
        <v>43</v>
      </c>
      <c r="H37" s="112">
        <v>0</v>
      </c>
      <c r="I37" s="112">
        <v>0</v>
      </c>
      <c r="J37" s="112">
        <v>0</v>
      </c>
      <c r="K37" s="964"/>
      <c r="L37" s="133">
        <v>100</v>
      </c>
      <c r="M37" s="133">
        <v>100</v>
      </c>
      <c r="N37" s="133">
        <v>0</v>
      </c>
      <c r="O37" s="133">
        <v>0</v>
      </c>
      <c r="P37" s="133">
        <v>0</v>
      </c>
      <c r="Q37" s="101" t="s">
        <v>74</v>
      </c>
    </row>
    <row r="38" spans="1:17" ht="8.25" customHeight="1">
      <c r="A38" s="1022"/>
      <c r="B38" s="1004"/>
      <c r="C38" s="957"/>
      <c r="D38" s="907"/>
      <c r="E38" s="1063">
        <f>SUM(F38:J39)</f>
        <v>163.5</v>
      </c>
      <c r="F38" s="1063">
        <v>0</v>
      </c>
      <c r="G38" s="1063">
        <f>43-43</f>
        <v>0</v>
      </c>
      <c r="H38" s="1063">
        <v>54.5</v>
      </c>
      <c r="I38" s="1063">
        <v>54.5</v>
      </c>
      <c r="J38" s="1063">
        <v>54.5</v>
      </c>
      <c r="K38" s="964"/>
      <c r="L38" s="1062">
        <v>0</v>
      </c>
      <c r="M38" s="1062">
        <v>0</v>
      </c>
      <c r="N38" s="1062">
        <v>100</v>
      </c>
      <c r="O38" s="1062">
        <v>100</v>
      </c>
      <c r="P38" s="1062">
        <v>100</v>
      </c>
      <c r="Q38" s="1024" t="s">
        <v>135</v>
      </c>
    </row>
    <row r="39" spans="1:17" ht="12.75" customHeight="1" thickBot="1">
      <c r="A39" s="1022"/>
      <c r="B39" s="1004"/>
      <c r="C39" s="957"/>
      <c r="D39" s="1066"/>
      <c r="E39" s="1063"/>
      <c r="F39" s="1063"/>
      <c r="G39" s="1063"/>
      <c r="H39" s="1063"/>
      <c r="I39" s="1063"/>
      <c r="J39" s="1063"/>
      <c r="K39" s="965"/>
      <c r="L39" s="1033"/>
      <c r="M39" s="1033"/>
      <c r="N39" s="1033"/>
      <c r="O39" s="1033"/>
      <c r="P39" s="1033"/>
      <c r="Q39" s="1026"/>
    </row>
    <row r="40" spans="1:17" ht="20.25" customHeight="1">
      <c r="A40" s="1059"/>
      <c r="B40" s="1059" t="s">
        <v>48</v>
      </c>
      <c r="C40" s="1059"/>
      <c r="D40" s="127" t="s">
        <v>215</v>
      </c>
      <c r="E40" s="128">
        <f aca="true" t="shared" si="10" ref="E40:J40">E35</f>
        <v>261</v>
      </c>
      <c r="F40" s="128">
        <f t="shared" si="10"/>
        <v>54.5</v>
      </c>
      <c r="G40" s="128">
        <f t="shared" si="10"/>
        <v>43</v>
      </c>
      <c r="H40" s="128">
        <f t="shared" si="10"/>
        <v>54.5</v>
      </c>
      <c r="I40" s="128">
        <f t="shared" si="10"/>
        <v>54.5</v>
      </c>
      <c r="J40" s="128">
        <f t="shared" si="10"/>
        <v>54.5</v>
      </c>
      <c r="K40" s="1059"/>
      <c r="L40" s="1059"/>
      <c r="M40" s="1059"/>
      <c r="N40" s="1059"/>
      <c r="O40" s="1059"/>
      <c r="P40" s="1059"/>
      <c r="Q40" s="1059"/>
    </row>
    <row r="41" spans="1:17" ht="15" customHeight="1">
      <c r="A41" s="1060"/>
      <c r="B41" s="1060"/>
      <c r="C41" s="1060"/>
      <c r="D41" s="126" t="s">
        <v>5</v>
      </c>
      <c r="E41" s="128">
        <f aca="true" t="shared" si="11" ref="E41:J41">E40</f>
        <v>261</v>
      </c>
      <c r="F41" s="128">
        <f t="shared" si="11"/>
        <v>54.5</v>
      </c>
      <c r="G41" s="128">
        <f t="shared" si="11"/>
        <v>43</v>
      </c>
      <c r="H41" s="128">
        <f t="shared" si="11"/>
        <v>54.5</v>
      </c>
      <c r="I41" s="128">
        <f t="shared" si="11"/>
        <v>54.5</v>
      </c>
      <c r="J41" s="128">
        <f t="shared" si="11"/>
        <v>54.5</v>
      </c>
      <c r="K41" s="1060"/>
      <c r="L41" s="1060"/>
      <c r="M41" s="1060"/>
      <c r="N41" s="1060"/>
      <c r="O41" s="1060"/>
      <c r="P41" s="1060"/>
      <c r="Q41" s="1060"/>
    </row>
    <row r="42" spans="1:17" ht="15" customHeight="1" thickBot="1">
      <c r="A42" s="1060"/>
      <c r="B42" s="1060"/>
      <c r="C42" s="1060"/>
      <c r="D42" s="126" t="s">
        <v>6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060"/>
      <c r="L42" s="1060"/>
      <c r="M42" s="1060"/>
      <c r="N42" s="1060"/>
      <c r="O42" s="1060"/>
      <c r="P42" s="1060"/>
      <c r="Q42" s="1060"/>
    </row>
    <row r="43" spans="1:17" ht="24" customHeight="1">
      <c r="A43" s="822"/>
      <c r="B43" s="783" t="s">
        <v>13</v>
      </c>
      <c r="C43" s="822"/>
      <c r="D43" s="118" t="s">
        <v>219</v>
      </c>
      <c r="E43" s="129">
        <f aca="true" t="shared" si="12" ref="E43:J43">E9+E16+E25+E35</f>
        <v>720</v>
      </c>
      <c r="F43" s="129">
        <f t="shared" si="12"/>
        <v>150</v>
      </c>
      <c r="G43" s="129">
        <f t="shared" si="12"/>
        <v>120</v>
      </c>
      <c r="H43" s="129">
        <f t="shared" si="12"/>
        <v>150</v>
      </c>
      <c r="I43" s="129">
        <f t="shared" si="12"/>
        <v>150</v>
      </c>
      <c r="J43" s="129">
        <f t="shared" si="12"/>
        <v>150</v>
      </c>
      <c r="K43" s="822"/>
      <c r="L43" s="822"/>
      <c r="M43" s="822"/>
      <c r="N43" s="822"/>
      <c r="O43" s="822"/>
      <c r="P43" s="822"/>
      <c r="Q43" s="822"/>
    </row>
    <row r="44" spans="1:17" ht="11.25" customHeight="1">
      <c r="A44" s="1061"/>
      <c r="B44" s="1061"/>
      <c r="C44" s="1061"/>
      <c r="D44" s="130" t="s">
        <v>5</v>
      </c>
      <c r="E44" s="122">
        <f aca="true" t="shared" si="13" ref="E44:J44">E43</f>
        <v>720</v>
      </c>
      <c r="F44" s="122">
        <f t="shared" si="13"/>
        <v>150</v>
      </c>
      <c r="G44" s="122">
        <f t="shared" si="13"/>
        <v>120</v>
      </c>
      <c r="H44" s="122">
        <f t="shared" si="13"/>
        <v>150</v>
      </c>
      <c r="I44" s="122">
        <f t="shared" si="13"/>
        <v>150</v>
      </c>
      <c r="J44" s="122">
        <f t="shared" si="13"/>
        <v>150</v>
      </c>
      <c r="K44" s="1061"/>
      <c r="L44" s="1061"/>
      <c r="M44" s="1061"/>
      <c r="N44" s="1061"/>
      <c r="O44" s="1061"/>
      <c r="P44" s="1061"/>
      <c r="Q44" s="1061"/>
    </row>
    <row r="45" spans="1:17" ht="11.25" customHeight="1">
      <c r="A45" s="1061"/>
      <c r="B45" s="1061"/>
      <c r="C45" s="1061"/>
      <c r="D45" s="130" t="s">
        <v>6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  <c r="J45" s="123">
        <v>0</v>
      </c>
      <c r="K45" s="1061"/>
      <c r="L45" s="1061"/>
      <c r="M45" s="1061"/>
      <c r="N45" s="1061"/>
      <c r="O45" s="1061"/>
      <c r="P45" s="1061"/>
      <c r="Q45" s="1061"/>
    </row>
  </sheetData>
  <sheetProtection/>
  <mergeCells count="120">
    <mergeCell ref="N31:N33"/>
    <mergeCell ref="O17:O18"/>
    <mergeCell ref="P17:P18"/>
    <mergeCell ref="L26:L27"/>
    <mergeCell ref="M26:M27"/>
    <mergeCell ref="N26:N27"/>
    <mergeCell ref="O26:O27"/>
    <mergeCell ref="P26:P27"/>
    <mergeCell ref="G38:G39"/>
    <mergeCell ref="I38:I39"/>
    <mergeCell ref="A36:A39"/>
    <mergeCell ref="Q31:Q33"/>
    <mergeCell ref="B40:B42"/>
    <mergeCell ref="C40:C42"/>
    <mergeCell ref="C36:C39"/>
    <mergeCell ref="E38:E39"/>
    <mergeCell ref="L38:L39"/>
    <mergeCell ref="M38:M39"/>
    <mergeCell ref="A40:A42"/>
    <mergeCell ref="K40:K42"/>
    <mergeCell ref="L40:L42"/>
    <mergeCell ref="M40:M42"/>
    <mergeCell ref="N40:N42"/>
    <mergeCell ref="O40:O42"/>
    <mergeCell ref="Q21:Q23"/>
    <mergeCell ref="A21:A23"/>
    <mergeCell ref="A31:A33"/>
    <mergeCell ref="B31:B33"/>
    <mergeCell ref="C31:C33"/>
    <mergeCell ref="K31:K33"/>
    <mergeCell ref="L31:L33"/>
    <mergeCell ref="M31:M33"/>
    <mergeCell ref="O31:O33"/>
    <mergeCell ref="P31:P33"/>
    <mergeCell ref="K21:K23"/>
    <mergeCell ref="L21:L23"/>
    <mergeCell ref="M21:M23"/>
    <mergeCell ref="N21:N23"/>
    <mergeCell ref="O21:O23"/>
    <mergeCell ref="P21:P23"/>
    <mergeCell ref="B8:Q8"/>
    <mergeCell ref="F26:F27"/>
    <mergeCell ref="F17:F18"/>
    <mergeCell ref="H38:H39"/>
    <mergeCell ref="E17:E18"/>
    <mergeCell ref="B36:B39"/>
    <mergeCell ref="D10:D11"/>
    <mergeCell ref="K25:K30"/>
    <mergeCell ref="K35:K39"/>
    <mergeCell ref="P12:P14"/>
    <mergeCell ref="B9:B11"/>
    <mergeCell ref="C9:C11"/>
    <mergeCell ref="C25:C30"/>
    <mergeCell ref="A43:A45"/>
    <mergeCell ref="C43:C45"/>
    <mergeCell ref="D17:D20"/>
    <mergeCell ref="A9:A11"/>
    <mergeCell ref="D36:D39"/>
    <mergeCell ref="A25:A30"/>
    <mergeCell ref="B25:B30"/>
    <mergeCell ref="E26:E27"/>
    <mergeCell ref="H17:H18"/>
    <mergeCell ref="I26:I27"/>
    <mergeCell ref="B34:Q34"/>
    <mergeCell ref="B24:Q24"/>
    <mergeCell ref="Q17:Q18"/>
    <mergeCell ref="Q26:Q27"/>
    <mergeCell ref="C16:C20"/>
    <mergeCell ref="B21:B23"/>
    <mergeCell ref="C21:C23"/>
    <mergeCell ref="C4:C5"/>
    <mergeCell ref="B7:Q7"/>
    <mergeCell ref="E4:J4"/>
    <mergeCell ref="K4:P4"/>
    <mergeCell ref="F38:F39"/>
    <mergeCell ref="B43:B45"/>
    <mergeCell ref="Q38:Q39"/>
    <mergeCell ref="H26:H27"/>
    <mergeCell ref="Q4:Q5"/>
    <mergeCell ref="B4:B5"/>
    <mergeCell ref="H1:Q1"/>
    <mergeCell ref="G17:G18"/>
    <mergeCell ref="D26:D30"/>
    <mergeCell ref="G26:G27"/>
    <mergeCell ref="A2:Q2"/>
    <mergeCell ref="J26:J27"/>
    <mergeCell ref="D4:D5"/>
    <mergeCell ref="A4:A5"/>
    <mergeCell ref="M17:M18"/>
    <mergeCell ref="M12:M14"/>
    <mergeCell ref="N12:N14"/>
    <mergeCell ref="A16:A20"/>
    <mergeCell ref="B15:Q15"/>
    <mergeCell ref="I17:I18"/>
    <mergeCell ref="J17:J18"/>
    <mergeCell ref="B12:B14"/>
    <mergeCell ref="C12:C14"/>
    <mergeCell ref="K12:K14"/>
    <mergeCell ref="Q12:Q14"/>
    <mergeCell ref="N17:N18"/>
    <mergeCell ref="P43:P45"/>
    <mergeCell ref="Q43:Q45"/>
    <mergeCell ref="J38:J39"/>
    <mergeCell ref="K43:K45"/>
    <mergeCell ref="L43:L45"/>
    <mergeCell ref="P40:P42"/>
    <mergeCell ref="P38:P39"/>
    <mergeCell ref="N38:N39"/>
    <mergeCell ref="O38:O39"/>
    <mergeCell ref="Q40:Q42"/>
    <mergeCell ref="K9:K11"/>
    <mergeCell ref="B16:B20"/>
    <mergeCell ref="O12:O14"/>
    <mergeCell ref="L12:L14"/>
    <mergeCell ref="A12:A14"/>
    <mergeCell ref="M43:M45"/>
    <mergeCell ref="N43:N45"/>
    <mergeCell ref="O43:O45"/>
    <mergeCell ref="K16:K20"/>
    <mergeCell ref="L17:L18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03"/>
  <sheetViews>
    <sheetView zoomScaleSheetLayoutView="100" workbookViewId="0" topLeftCell="A1">
      <pane ySplit="5" topLeftCell="A46" activePane="bottomLeft" state="frozen"/>
      <selection pane="topLeft" activeCell="A1" sqref="A1"/>
      <selection pane="bottomLeft" activeCell="F56" sqref="F56"/>
    </sheetView>
  </sheetViews>
  <sheetFormatPr defaultColWidth="19.57421875" defaultRowHeight="18.75" customHeight="1"/>
  <cols>
    <col min="1" max="1" width="5.421875" style="282" customWidth="1"/>
    <col min="2" max="2" width="28.8515625" style="218" customWidth="1"/>
    <col min="3" max="3" width="5.57421875" style="218" customWidth="1"/>
    <col min="4" max="4" width="8.00390625" style="283" customWidth="1"/>
    <col min="5" max="5" width="8.00390625" style="218" customWidth="1"/>
    <col min="6" max="7" width="7.421875" style="218" customWidth="1"/>
    <col min="8" max="10" width="7.8515625" style="218" customWidth="1"/>
    <col min="11" max="11" width="20.57421875" style="218" customWidth="1"/>
    <col min="12" max="12" width="5.421875" style="218" customWidth="1"/>
    <col min="13" max="13" width="4.8515625" style="218" customWidth="1"/>
    <col min="14" max="14" width="4.57421875" style="218" customWidth="1"/>
    <col min="15" max="15" width="5.140625" style="218" customWidth="1"/>
    <col min="16" max="16" width="5.00390625" style="218" customWidth="1"/>
    <col min="17" max="17" width="18.421875" style="284" customWidth="1"/>
    <col min="18" max="16384" width="19.57421875" style="218" customWidth="1"/>
  </cols>
  <sheetData>
    <row r="1" spans="1:17" ht="57" customHeight="1">
      <c r="A1" s="215"/>
      <c r="B1" s="216"/>
      <c r="C1" s="216"/>
      <c r="D1" s="217"/>
      <c r="E1" s="216"/>
      <c r="F1" s="216"/>
      <c r="G1" s="216"/>
      <c r="H1" s="1068" t="s">
        <v>300</v>
      </c>
      <c r="I1" s="1068"/>
      <c r="J1" s="1068"/>
      <c r="K1" s="1068"/>
      <c r="L1" s="1068"/>
      <c r="M1" s="1068"/>
      <c r="N1" s="1068"/>
      <c r="O1" s="1068"/>
      <c r="P1" s="1068"/>
      <c r="Q1" s="1068"/>
    </row>
    <row r="2" spans="1:17" ht="27" customHeight="1">
      <c r="A2" s="1069" t="s">
        <v>159</v>
      </c>
      <c r="B2" s="1069"/>
      <c r="C2" s="1069"/>
      <c r="D2" s="1069"/>
      <c r="E2" s="1069"/>
      <c r="F2" s="1069"/>
      <c r="G2" s="1069"/>
      <c r="H2" s="1069"/>
      <c r="I2" s="1069"/>
      <c r="J2" s="1069"/>
      <c r="K2" s="1069"/>
      <c r="L2" s="1069"/>
      <c r="M2" s="1069"/>
      <c r="N2" s="1069"/>
      <c r="O2" s="1069"/>
      <c r="P2" s="1069"/>
      <c r="Q2" s="1069"/>
    </row>
    <row r="3" spans="1:17" ht="10.5" customHeight="1">
      <c r="A3" s="215"/>
      <c r="B3" s="216"/>
      <c r="C3" s="216"/>
      <c r="D3" s="217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9" t="s">
        <v>7</v>
      </c>
    </row>
    <row r="4" spans="1:17" ht="42.75" customHeight="1">
      <c r="A4" s="1070" t="s">
        <v>16</v>
      </c>
      <c r="B4" s="1071" t="s">
        <v>15</v>
      </c>
      <c r="C4" s="1070" t="s">
        <v>8</v>
      </c>
      <c r="D4" s="1070" t="s">
        <v>9</v>
      </c>
      <c r="E4" s="1073" t="s">
        <v>0</v>
      </c>
      <c r="F4" s="1074"/>
      <c r="G4" s="1074"/>
      <c r="H4" s="1074"/>
      <c r="I4" s="1074"/>
      <c r="J4" s="1075"/>
      <c r="K4" s="1073" t="s">
        <v>17</v>
      </c>
      <c r="L4" s="1074"/>
      <c r="M4" s="1074"/>
      <c r="N4" s="1074"/>
      <c r="O4" s="1074"/>
      <c r="P4" s="1075"/>
      <c r="Q4" s="1071" t="s">
        <v>14</v>
      </c>
    </row>
    <row r="5" spans="1:17" ht="12" customHeight="1">
      <c r="A5" s="1070"/>
      <c r="B5" s="1072"/>
      <c r="C5" s="1070"/>
      <c r="D5" s="1070"/>
      <c r="E5" s="220" t="s">
        <v>1</v>
      </c>
      <c r="F5" s="220" t="s">
        <v>2</v>
      </c>
      <c r="G5" s="220" t="s">
        <v>3</v>
      </c>
      <c r="H5" s="220" t="s">
        <v>57</v>
      </c>
      <c r="I5" s="220" t="s">
        <v>155</v>
      </c>
      <c r="J5" s="220" t="s">
        <v>156</v>
      </c>
      <c r="K5" s="220" t="s">
        <v>4</v>
      </c>
      <c r="L5" s="220">
        <v>2014</v>
      </c>
      <c r="M5" s="220">
        <v>2015</v>
      </c>
      <c r="N5" s="220">
        <v>2016</v>
      </c>
      <c r="O5" s="220">
        <v>2017</v>
      </c>
      <c r="P5" s="220">
        <v>2018</v>
      </c>
      <c r="Q5" s="1072"/>
    </row>
    <row r="6" spans="1:17" ht="11.25" customHeight="1">
      <c r="A6" s="221">
        <v>1</v>
      </c>
      <c r="B6" s="221">
        <v>2</v>
      </c>
      <c r="C6" s="221">
        <v>3</v>
      </c>
      <c r="D6" s="221">
        <v>4</v>
      </c>
      <c r="E6" s="221">
        <v>5</v>
      </c>
      <c r="F6" s="221">
        <v>6</v>
      </c>
      <c r="G6" s="221">
        <v>7</v>
      </c>
      <c r="H6" s="221">
        <v>8</v>
      </c>
      <c r="I6" s="221">
        <v>9</v>
      </c>
      <c r="J6" s="221">
        <v>10</v>
      </c>
      <c r="K6" s="221">
        <v>11</v>
      </c>
      <c r="L6" s="221">
        <v>12</v>
      </c>
      <c r="M6" s="221">
        <v>13</v>
      </c>
      <c r="N6" s="221">
        <v>14</v>
      </c>
      <c r="O6" s="221">
        <v>15</v>
      </c>
      <c r="P6" s="221">
        <v>16</v>
      </c>
      <c r="Q6" s="221">
        <v>17</v>
      </c>
    </row>
    <row r="7" spans="1:17" ht="12.75" customHeight="1">
      <c r="A7" s="222"/>
      <c r="B7" s="823" t="s">
        <v>20</v>
      </c>
      <c r="C7" s="823"/>
      <c r="D7" s="823"/>
      <c r="E7" s="823"/>
      <c r="F7" s="823"/>
      <c r="G7" s="823"/>
      <c r="H7" s="823"/>
      <c r="I7" s="823"/>
      <c r="J7" s="823"/>
      <c r="K7" s="823"/>
      <c r="L7" s="823"/>
      <c r="M7" s="823"/>
      <c r="N7" s="823"/>
      <c r="O7" s="823"/>
      <c r="P7" s="823"/>
      <c r="Q7" s="823"/>
    </row>
    <row r="8" spans="1:17" ht="21" customHeight="1">
      <c r="A8" s="223">
        <v>1</v>
      </c>
      <c r="B8" s="792" t="s">
        <v>21</v>
      </c>
      <c r="C8" s="792"/>
      <c r="D8" s="792"/>
      <c r="E8" s="792"/>
      <c r="F8" s="792"/>
      <c r="G8" s="792"/>
      <c r="H8" s="792"/>
      <c r="I8" s="792"/>
      <c r="J8" s="792"/>
      <c r="K8" s="792"/>
      <c r="L8" s="792"/>
      <c r="M8" s="792"/>
      <c r="N8" s="792"/>
      <c r="O8" s="792"/>
      <c r="P8" s="792"/>
      <c r="Q8" s="792"/>
    </row>
    <row r="9" spans="1:17" ht="21" customHeight="1">
      <c r="A9" s="773" t="s">
        <v>19</v>
      </c>
      <c r="B9" s="1077" t="s">
        <v>125</v>
      </c>
      <c r="C9" s="1079" t="s">
        <v>161</v>
      </c>
      <c r="D9" s="224" t="s">
        <v>215</v>
      </c>
      <c r="E9" s="225">
        <f aca="true" t="shared" si="0" ref="E9:J9">E10</f>
        <v>1357.9</v>
      </c>
      <c r="F9" s="225">
        <f t="shared" si="0"/>
        <v>248.6</v>
      </c>
      <c r="G9" s="225">
        <f t="shared" si="0"/>
        <v>248.6</v>
      </c>
      <c r="H9" s="225">
        <f t="shared" si="0"/>
        <v>278.3</v>
      </c>
      <c r="I9" s="225">
        <f t="shared" si="0"/>
        <v>291.2</v>
      </c>
      <c r="J9" s="225">
        <f t="shared" si="0"/>
        <v>291.2</v>
      </c>
      <c r="K9" s="226"/>
      <c r="L9" s="226"/>
      <c r="M9" s="226"/>
      <c r="N9" s="226"/>
      <c r="O9" s="226"/>
      <c r="P9" s="226"/>
      <c r="Q9" s="226"/>
    </row>
    <row r="10" spans="1:17" s="229" customFormat="1" ht="33" customHeight="1">
      <c r="A10" s="1076"/>
      <c r="B10" s="1078"/>
      <c r="C10" s="1078"/>
      <c r="D10" s="844" t="s">
        <v>6</v>
      </c>
      <c r="E10" s="830">
        <f>SUM(F10:J11)</f>
        <v>1357.9</v>
      </c>
      <c r="F10" s="830">
        <v>248.6</v>
      </c>
      <c r="G10" s="830">
        <v>248.6</v>
      </c>
      <c r="H10" s="830">
        <f>248.6+29.7</f>
        <v>278.3</v>
      </c>
      <c r="I10" s="830">
        <f>248.6+42.6</f>
        <v>291.2</v>
      </c>
      <c r="J10" s="830">
        <f>248.6+42.6</f>
        <v>291.2</v>
      </c>
      <c r="K10" s="422" t="s">
        <v>232</v>
      </c>
      <c r="L10" s="228">
        <v>45</v>
      </c>
      <c r="M10" s="228">
        <v>45</v>
      </c>
      <c r="N10" s="228">
        <v>45</v>
      </c>
      <c r="O10" s="228">
        <v>45</v>
      </c>
      <c r="P10" s="228">
        <v>45</v>
      </c>
      <c r="Q10" s="1079" t="s">
        <v>51</v>
      </c>
    </row>
    <row r="11" spans="1:17" s="229" customFormat="1" ht="35.25" customHeight="1">
      <c r="A11" s="1076"/>
      <c r="B11" s="1078"/>
      <c r="C11" s="1078"/>
      <c r="D11" s="893"/>
      <c r="E11" s="839"/>
      <c r="F11" s="839"/>
      <c r="G11" s="839"/>
      <c r="H11" s="839"/>
      <c r="I11" s="839"/>
      <c r="J11" s="839"/>
      <c r="K11" s="227" t="s">
        <v>233</v>
      </c>
      <c r="L11" s="228">
        <v>20</v>
      </c>
      <c r="M11" s="228">
        <v>20</v>
      </c>
      <c r="N11" s="228">
        <v>20</v>
      </c>
      <c r="O11" s="228">
        <v>20</v>
      </c>
      <c r="P11" s="228">
        <v>20</v>
      </c>
      <c r="Q11" s="1079"/>
    </row>
    <row r="12" spans="1:17" s="229" customFormat="1" ht="24" customHeight="1">
      <c r="A12" s="773" t="s">
        <v>22</v>
      </c>
      <c r="B12" s="1077" t="s">
        <v>126</v>
      </c>
      <c r="C12" s="1079" t="s">
        <v>161</v>
      </c>
      <c r="D12" s="224" t="s">
        <v>215</v>
      </c>
      <c r="E12" s="230">
        <f aca="true" t="shared" si="1" ref="E12:J12">E13</f>
        <v>455.3</v>
      </c>
      <c r="F12" s="230">
        <f t="shared" si="1"/>
        <v>51.3</v>
      </c>
      <c r="G12" s="230">
        <f t="shared" si="1"/>
        <v>104</v>
      </c>
      <c r="H12" s="230">
        <f t="shared" si="1"/>
        <v>100</v>
      </c>
      <c r="I12" s="230">
        <f t="shared" si="1"/>
        <v>100</v>
      </c>
      <c r="J12" s="230">
        <f t="shared" si="1"/>
        <v>100</v>
      </c>
      <c r="K12" s="227"/>
      <c r="L12" s="231"/>
      <c r="M12" s="231"/>
      <c r="N12" s="231"/>
      <c r="O12" s="231"/>
      <c r="P12" s="231"/>
      <c r="Q12" s="228"/>
    </row>
    <row r="13" spans="1:17" s="229" customFormat="1" ht="15.75" customHeight="1">
      <c r="A13" s="1080"/>
      <c r="B13" s="864"/>
      <c r="C13" s="1080"/>
      <c r="D13" s="844" t="s">
        <v>5</v>
      </c>
      <c r="E13" s="830">
        <f>SUM(F13:J16)</f>
        <v>455.3</v>
      </c>
      <c r="F13" s="830">
        <v>51.3</v>
      </c>
      <c r="G13" s="830">
        <f>100+4</f>
        <v>104</v>
      </c>
      <c r="H13" s="830">
        <v>100</v>
      </c>
      <c r="I13" s="830">
        <v>100</v>
      </c>
      <c r="J13" s="830">
        <v>100</v>
      </c>
      <c r="K13" s="852" t="s">
        <v>234</v>
      </c>
      <c r="L13" s="727" t="s">
        <v>236</v>
      </c>
      <c r="M13" s="727" t="s">
        <v>236</v>
      </c>
      <c r="N13" s="727" t="s">
        <v>236</v>
      </c>
      <c r="O13" s="727" t="s">
        <v>236</v>
      </c>
      <c r="P13" s="727" t="s">
        <v>236</v>
      </c>
      <c r="Q13" s="761" t="s">
        <v>127</v>
      </c>
    </row>
    <row r="14" spans="1:17" s="229" customFormat="1" ht="6" customHeight="1">
      <c r="A14" s="1080"/>
      <c r="B14" s="864"/>
      <c r="C14" s="1080"/>
      <c r="D14" s="893"/>
      <c r="E14" s="831"/>
      <c r="F14" s="831"/>
      <c r="G14" s="831"/>
      <c r="H14" s="831"/>
      <c r="I14" s="831"/>
      <c r="J14" s="831"/>
      <c r="K14" s="1081"/>
      <c r="L14" s="736"/>
      <c r="M14" s="736"/>
      <c r="N14" s="736"/>
      <c r="O14" s="736"/>
      <c r="P14" s="736"/>
      <c r="Q14" s="774"/>
    </row>
    <row r="15" spans="1:17" s="229" customFormat="1" ht="6.75" customHeight="1">
      <c r="A15" s="1080"/>
      <c r="B15" s="864"/>
      <c r="C15" s="1080"/>
      <c r="D15" s="893"/>
      <c r="E15" s="831"/>
      <c r="F15" s="831"/>
      <c r="G15" s="831"/>
      <c r="H15" s="831"/>
      <c r="I15" s="831"/>
      <c r="J15" s="831"/>
      <c r="K15" s="852" t="s">
        <v>235</v>
      </c>
      <c r="L15" s="727" t="s">
        <v>236</v>
      </c>
      <c r="M15" s="727" t="s">
        <v>236</v>
      </c>
      <c r="N15" s="727" t="s">
        <v>236</v>
      </c>
      <c r="O15" s="727" t="s">
        <v>236</v>
      </c>
      <c r="P15" s="727" t="s">
        <v>236</v>
      </c>
      <c r="Q15" s="774"/>
    </row>
    <row r="16" spans="1:17" s="229" customFormat="1" ht="18" customHeight="1" thickBot="1">
      <c r="A16" s="1080"/>
      <c r="B16" s="864"/>
      <c r="C16" s="1080"/>
      <c r="D16" s="893"/>
      <c r="E16" s="831"/>
      <c r="F16" s="831"/>
      <c r="G16" s="831"/>
      <c r="H16" s="831"/>
      <c r="I16" s="831"/>
      <c r="J16" s="831"/>
      <c r="K16" s="1081"/>
      <c r="L16" s="736"/>
      <c r="M16" s="736"/>
      <c r="N16" s="736"/>
      <c r="O16" s="736"/>
      <c r="P16" s="736"/>
      <c r="Q16" s="775"/>
    </row>
    <row r="17" spans="1:17" s="233" customFormat="1" ht="12.75" customHeight="1">
      <c r="A17" s="755"/>
      <c r="B17" s="823" t="s">
        <v>23</v>
      </c>
      <c r="C17" s="791"/>
      <c r="D17" s="232" t="s">
        <v>11</v>
      </c>
      <c r="E17" s="1082">
        <f>SUM(F17:J18)</f>
        <v>1813.2</v>
      </c>
      <c r="F17" s="1082">
        <f>SUM(F19:F20)</f>
        <v>299.9</v>
      </c>
      <c r="G17" s="1082">
        <f>SUM(G19:G20)</f>
        <v>352.6</v>
      </c>
      <c r="H17" s="1082">
        <f>SUM(H19:H20)</f>
        <v>378.3</v>
      </c>
      <c r="I17" s="1082">
        <f>SUM(I19:I20)</f>
        <v>391.2</v>
      </c>
      <c r="J17" s="1084">
        <f>SUM(J19:J20)</f>
        <v>391.2</v>
      </c>
      <c r="K17" s="1086"/>
      <c r="L17" s="755"/>
      <c r="M17" s="755"/>
      <c r="N17" s="755"/>
      <c r="O17" s="755"/>
      <c r="P17" s="755"/>
      <c r="Q17" s="1079"/>
    </row>
    <row r="18" spans="1:17" s="233" customFormat="1" ht="9.75" customHeight="1">
      <c r="A18" s="755"/>
      <c r="B18" s="823"/>
      <c r="C18" s="791"/>
      <c r="D18" s="234" t="s">
        <v>12</v>
      </c>
      <c r="E18" s="1083"/>
      <c r="F18" s="1083"/>
      <c r="G18" s="1083"/>
      <c r="H18" s="1083"/>
      <c r="I18" s="1083"/>
      <c r="J18" s="1085"/>
      <c r="K18" s="1086"/>
      <c r="L18" s="755"/>
      <c r="M18" s="755"/>
      <c r="N18" s="755"/>
      <c r="O18" s="755"/>
      <c r="P18" s="755"/>
      <c r="Q18" s="1079"/>
    </row>
    <row r="19" spans="1:17" s="233" customFormat="1" ht="13.5" customHeight="1">
      <c r="A19" s="755"/>
      <c r="B19" s="823"/>
      <c r="C19" s="791"/>
      <c r="D19" s="235" t="s">
        <v>5</v>
      </c>
      <c r="E19" s="236">
        <f>SUM(F19:J19)</f>
        <v>455.3</v>
      </c>
      <c r="F19" s="236">
        <f>SUM(F13)</f>
        <v>51.3</v>
      </c>
      <c r="G19" s="236">
        <f>SUM(G13)</f>
        <v>104</v>
      </c>
      <c r="H19" s="236">
        <f>SUM(H13)</f>
        <v>100</v>
      </c>
      <c r="I19" s="236">
        <f>SUM(I13)</f>
        <v>100</v>
      </c>
      <c r="J19" s="237">
        <f>SUM(J13)</f>
        <v>100</v>
      </c>
      <c r="K19" s="1086"/>
      <c r="L19" s="755"/>
      <c r="M19" s="755"/>
      <c r="N19" s="755"/>
      <c r="O19" s="755"/>
      <c r="P19" s="755"/>
      <c r="Q19" s="1079"/>
    </row>
    <row r="20" spans="1:17" s="233" customFormat="1" ht="12.75" customHeight="1" thickBot="1">
      <c r="A20" s="755"/>
      <c r="B20" s="823"/>
      <c r="C20" s="791"/>
      <c r="D20" s="238" t="s">
        <v>6</v>
      </c>
      <c r="E20" s="239">
        <f>SUM(F20:J20)</f>
        <v>1357.9</v>
      </c>
      <c r="F20" s="239">
        <f>SUM(F10)</f>
        <v>248.6</v>
      </c>
      <c r="G20" s="239">
        <f>SUM(G10)</f>
        <v>248.6</v>
      </c>
      <c r="H20" s="239">
        <f>SUM(H10)</f>
        <v>278.3</v>
      </c>
      <c r="I20" s="239">
        <f>SUM(I10)</f>
        <v>291.2</v>
      </c>
      <c r="J20" s="240">
        <f>SUM(J10)</f>
        <v>291.2</v>
      </c>
      <c r="K20" s="1086"/>
      <c r="L20" s="755"/>
      <c r="M20" s="755"/>
      <c r="N20" s="755"/>
      <c r="O20" s="755"/>
      <c r="P20" s="755"/>
      <c r="Q20" s="1079"/>
    </row>
    <row r="21" spans="1:17" s="229" customFormat="1" ht="12" customHeight="1">
      <c r="A21" s="241" t="s">
        <v>24</v>
      </c>
      <c r="B21" s="1087" t="s">
        <v>25</v>
      </c>
      <c r="C21" s="1088"/>
      <c r="D21" s="1089"/>
      <c r="E21" s="1089"/>
      <c r="F21" s="1089"/>
      <c r="G21" s="1089"/>
      <c r="H21" s="1089"/>
      <c r="I21" s="1089"/>
      <c r="J21" s="1089"/>
      <c r="K21" s="1088"/>
      <c r="L21" s="1088"/>
      <c r="M21" s="1088"/>
      <c r="N21" s="1088"/>
      <c r="O21" s="1088"/>
      <c r="P21" s="1088"/>
      <c r="Q21" s="1090"/>
    </row>
    <row r="22" spans="1:17" s="229" customFormat="1" ht="24.75" customHeight="1">
      <c r="A22" s="761" t="s">
        <v>26</v>
      </c>
      <c r="B22" s="1091" t="s">
        <v>27</v>
      </c>
      <c r="C22" s="1079" t="s">
        <v>161</v>
      </c>
      <c r="D22" s="224" t="s">
        <v>215</v>
      </c>
      <c r="E22" s="242">
        <f aca="true" t="shared" si="2" ref="E22:J22">E23+E25</f>
        <v>100</v>
      </c>
      <c r="F22" s="242">
        <f t="shared" si="2"/>
        <v>20</v>
      </c>
      <c r="G22" s="242">
        <f t="shared" si="2"/>
        <v>20</v>
      </c>
      <c r="H22" s="242">
        <f t="shared" si="2"/>
        <v>20</v>
      </c>
      <c r="I22" s="242">
        <f t="shared" si="2"/>
        <v>20</v>
      </c>
      <c r="J22" s="242">
        <f t="shared" si="2"/>
        <v>20</v>
      </c>
      <c r="K22" s="243" t="s">
        <v>237</v>
      </c>
      <c r="L22" s="228">
        <v>100</v>
      </c>
      <c r="M22" s="228">
        <v>100</v>
      </c>
      <c r="N22" s="228">
        <v>100</v>
      </c>
      <c r="O22" s="228">
        <v>100</v>
      </c>
      <c r="P22" s="228">
        <v>100</v>
      </c>
      <c r="Q22" s="244"/>
    </row>
    <row r="23" spans="1:17" s="229" customFormat="1" ht="24.75" customHeight="1">
      <c r="A23" s="871"/>
      <c r="B23" s="1092"/>
      <c r="C23" s="1094"/>
      <c r="D23" s="844" t="s">
        <v>5</v>
      </c>
      <c r="E23" s="830">
        <f>SUM(F23:J24)</f>
        <v>50</v>
      </c>
      <c r="F23" s="830">
        <v>10</v>
      </c>
      <c r="G23" s="830">
        <v>10</v>
      </c>
      <c r="H23" s="830">
        <v>10</v>
      </c>
      <c r="I23" s="830">
        <v>10</v>
      </c>
      <c r="J23" s="830">
        <v>10</v>
      </c>
      <c r="K23" s="852" t="s">
        <v>238</v>
      </c>
      <c r="L23" s="727" t="s">
        <v>240</v>
      </c>
      <c r="M23" s="727" t="s">
        <v>240</v>
      </c>
      <c r="N23" s="727" t="s">
        <v>240</v>
      </c>
      <c r="O23" s="727" t="s">
        <v>240</v>
      </c>
      <c r="P23" s="727" t="s">
        <v>240</v>
      </c>
      <c r="Q23" s="1079" t="s">
        <v>226</v>
      </c>
    </row>
    <row r="24" spans="1:17" s="229" customFormat="1" ht="5.25" customHeight="1" hidden="1">
      <c r="A24" s="871"/>
      <c r="B24" s="1092"/>
      <c r="C24" s="1094"/>
      <c r="D24" s="845"/>
      <c r="E24" s="839"/>
      <c r="F24" s="839"/>
      <c r="G24" s="839"/>
      <c r="H24" s="839"/>
      <c r="I24" s="839"/>
      <c r="J24" s="839"/>
      <c r="K24" s="832"/>
      <c r="L24" s="1095"/>
      <c r="M24" s="1095"/>
      <c r="N24" s="1095"/>
      <c r="O24" s="1095"/>
      <c r="P24" s="1095"/>
      <c r="Q24" s="1080"/>
    </row>
    <row r="25" spans="1:17" s="229" customFormat="1" ht="0.75" customHeight="1">
      <c r="A25" s="871"/>
      <c r="B25" s="1092"/>
      <c r="C25" s="1094"/>
      <c r="D25" s="1105" t="s">
        <v>5</v>
      </c>
      <c r="E25" s="830">
        <f>SUM(F25:J26)</f>
        <v>50</v>
      </c>
      <c r="F25" s="853">
        <v>10</v>
      </c>
      <c r="G25" s="853">
        <v>10</v>
      </c>
      <c r="H25" s="830">
        <v>10</v>
      </c>
      <c r="I25" s="830">
        <v>10</v>
      </c>
      <c r="J25" s="830">
        <v>10</v>
      </c>
      <c r="K25" s="833"/>
      <c r="L25" s="1096"/>
      <c r="M25" s="1096"/>
      <c r="N25" s="1096"/>
      <c r="O25" s="1096"/>
      <c r="P25" s="1096"/>
      <c r="Q25" s="1079" t="s">
        <v>225</v>
      </c>
    </row>
    <row r="26" spans="1:17" s="229" customFormat="1" ht="22.5" customHeight="1" thickBot="1">
      <c r="A26" s="872"/>
      <c r="B26" s="1093"/>
      <c r="C26" s="1094"/>
      <c r="D26" s="844"/>
      <c r="E26" s="831"/>
      <c r="F26" s="830"/>
      <c r="G26" s="830"/>
      <c r="H26" s="831"/>
      <c r="I26" s="831"/>
      <c r="J26" s="831"/>
      <c r="K26" s="243" t="s">
        <v>239</v>
      </c>
      <c r="L26" s="245" t="s">
        <v>236</v>
      </c>
      <c r="M26" s="245" t="s">
        <v>236</v>
      </c>
      <c r="N26" s="245" t="s">
        <v>236</v>
      </c>
      <c r="O26" s="245" t="s">
        <v>236</v>
      </c>
      <c r="P26" s="245" t="s">
        <v>236</v>
      </c>
      <c r="Q26" s="1080"/>
    </row>
    <row r="27" spans="1:17" s="233" customFormat="1" ht="22.5" customHeight="1">
      <c r="A27" s="761"/>
      <c r="B27" s="852" t="s">
        <v>43</v>
      </c>
      <c r="C27" s="1099"/>
      <c r="D27" s="246" t="s">
        <v>227</v>
      </c>
      <c r="E27" s="214">
        <f aca="true" t="shared" si="3" ref="E27:J27">SUM(E23:E26)</f>
        <v>100</v>
      </c>
      <c r="F27" s="214">
        <f t="shared" si="3"/>
        <v>20</v>
      </c>
      <c r="G27" s="214">
        <f t="shared" si="3"/>
        <v>20</v>
      </c>
      <c r="H27" s="214">
        <f t="shared" si="3"/>
        <v>20</v>
      </c>
      <c r="I27" s="214">
        <f t="shared" si="3"/>
        <v>20</v>
      </c>
      <c r="J27" s="247">
        <f t="shared" si="3"/>
        <v>20</v>
      </c>
      <c r="K27" s="1102"/>
      <c r="L27" s="1102"/>
      <c r="M27" s="1102"/>
      <c r="N27" s="1102"/>
      <c r="O27" s="1102"/>
      <c r="P27" s="1102"/>
      <c r="Q27" s="1102"/>
    </row>
    <row r="28" spans="1:17" s="233" customFormat="1" ht="12" customHeight="1">
      <c r="A28" s="871"/>
      <c r="B28" s="1097"/>
      <c r="C28" s="1100"/>
      <c r="D28" s="248" t="s">
        <v>5</v>
      </c>
      <c r="E28" s="236">
        <f aca="true" t="shared" si="4" ref="E28:J28">E22</f>
        <v>100</v>
      </c>
      <c r="F28" s="236">
        <f t="shared" si="4"/>
        <v>20</v>
      </c>
      <c r="G28" s="236">
        <f t="shared" si="4"/>
        <v>20</v>
      </c>
      <c r="H28" s="236">
        <f t="shared" si="4"/>
        <v>20</v>
      </c>
      <c r="I28" s="236">
        <f t="shared" si="4"/>
        <v>20</v>
      </c>
      <c r="J28" s="237">
        <f t="shared" si="4"/>
        <v>20</v>
      </c>
      <c r="K28" s="1103"/>
      <c r="L28" s="1103"/>
      <c r="M28" s="1103"/>
      <c r="N28" s="1103"/>
      <c r="O28" s="1103"/>
      <c r="P28" s="1103"/>
      <c r="Q28" s="1103"/>
    </row>
    <row r="29" spans="1:17" s="233" customFormat="1" ht="13.5" customHeight="1" thickBot="1">
      <c r="A29" s="872"/>
      <c r="B29" s="1098"/>
      <c r="C29" s="1101"/>
      <c r="D29" s="249" t="s">
        <v>6</v>
      </c>
      <c r="E29" s="239">
        <v>0</v>
      </c>
      <c r="F29" s="239">
        <v>0</v>
      </c>
      <c r="G29" s="239">
        <v>0</v>
      </c>
      <c r="H29" s="239">
        <v>0</v>
      </c>
      <c r="I29" s="239">
        <v>0</v>
      </c>
      <c r="J29" s="240">
        <v>0</v>
      </c>
      <c r="K29" s="1104"/>
      <c r="L29" s="1104"/>
      <c r="M29" s="1104"/>
      <c r="N29" s="1104"/>
      <c r="O29" s="1104"/>
      <c r="P29" s="1104"/>
      <c r="Q29" s="1104"/>
    </row>
    <row r="30" spans="1:17" s="229" customFormat="1" ht="12" customHeight="1">
      <c r="A30" s="250" t="s">
        <v>28</v>
      </c>
      <c r="B30" s="1106" t="s">
        <v>29</v>
      </c>
      <c r="C30" s="1089"/>
      <c r="D30" s="1089"/>
      <c r="E30" s="1089"/>
      <c r="F30" s="1089"/>
      <c r="G30" s="1089"/>
      <c r="H30" s="1089"/>
      <c r="I30" s="1089"/>
      <c r="J30" s="1089"/>
      <c r="K30" s="1089"/>
      <c r="L30" s="1089"/>
      <c r="M30" s="1089"/>
      <c r="N30" s="1089"/>
      <c r="O30" s="1089"/>
      <c r="P30" s="1089"/>
      <c r="Q30" s="1107"/>
    </row>
    <row r="31" spans="1:17" s="229" customFormat="1" ht="21" customHeight="1">
      <c r="A31" s="761" t="s">
        <v>30</v>
      </c>
      <c r="B31" s="1091" t="s">
        <v>128</v>
      </c>
      <c r="C31" s="1079" t="s">
        <v>161</v>
      </c>
      <c r="D31" s="224" t="s">
        <v>215</v>
      </c>
      <c r="E31" s="242">
        <f aca="true" t="shared" si="5" ref="E31:J31">E32+E33</f>
        <v>0</v>
      </c>
      <c r="F31" s="242">
        <f t="shared" si="5"/>
        <v>0</v>
      </c>
      <c r="G31" s="242">
        <f t="shared" si="5"/>
        <v>0</v>
      </c>
      <c r="H31" s="242">
        <f t="shared" si="5"/>
        <v>0</v>
      </c>
      <c r="I31" s="242">
        <f t="shared" si="5"/>
        <v>0</v>
      </c>
      <c r="J31" s="242">
        <f t="shared" si="5"/>
        <v>0</v>
      </c>
      <c r="K31" s="244"/>
      <c r="L31" s="244"/>
      <c r="M31" s="244"/>
      <c r="N31" s="244"/>
      <c r="O31" s="244"/>
      <c r="P31" s="244"/>
      <c r="Q31" s="244"/>
    </row>
    <row r="32" spans="1:17" s="229" customFormat="1" ht="17.25" customHeight="1">
      <c r="A32" s="1108"/>
      <c r="B32" s="1092"/>
      <c r="C32" s="1094"/>
      <c r="D32" s="251" t="s">
        <v>5</v>
      </c>
      <c r="E32" s="212">
        <f>SUM(F32:J32)</f>
        <v>0</v>
      </c>
      <c r="F32" s="212">
        <v>0</v>
      </c>
      <c r="G32" s="212">
        <v>0</v>
      </c>
      <c r="H32" s="212">
        <v>0</v>
      </c>
      <c r="I32" s="212">
        <v>0</v>
      </c>
      <c r="J32" s="212">
        <v>0</v>
      </c>
      <c r="K32" s="243" t="s">
        <v>241</v>
      </c>
      <c r="L32" s="252" t="s">
        <v>242</v>
      </c>
      <c r="M32" s="252" t="s">
        <v>242</v>
      </c>
      <c r="N32" s="252" t="s">
        <v>242</v>
      </c>
      <c r="O32" s="252" t="s">
        <v>242</v>
      </c>
      <c r="P32" s="252" t="s">
        <v>242</v>
      </c>
      <c r="Q32" s="761" t="s">
        <v>135</v>
      </c>
    </row>
    <row r="33" spans="1:17" s="229" customFormat="1" ht="33.75" customHeight="1">
      <c r="A33" s="1109"/>
      <c r="B33" s="1093"/>
      <c r="C33" s="1094"/>
      <c r="D33" s="253" t="s">
        <v>6</v>
      </c>
      <c r="E33" s="212">
        <f>SUM(F33:J33)</f>
        <v>0</v>
      </c>
      <c r="F33" s="254">
        <v>0</v>
      </c>
      <c r="G33" s="254">
        <v>0</v>
      </c>
      <c r="H33" s="254">
        <v>0</v>
      </c>
      <c r="I33" s="254">
        <v>0</v>
      </c>
      <c r="J33" s="254">
        <v>0</v>
      </c>
      <c r="K33" s="243" t="s">
        <v>245</v>
      </c>
      <c r="L33" s="252" t="s">
        <v>236</v>
      </c>
      <c r="M33" s="252" t="s">
        <v>236</v>
      </c>
      <c r="N33" s="252" t="s">
        <v>236</v>
      </c>
      <c r="O33" s="252" t="s">
        <v>236</v>
      </c>
      <c r="P33" s="252" t="s">
        <v>236</v>
      </c>
      <c r="Q33" s="775"/>
    </row>
    <row r="34" spans="1:17" s="229" customFormat="1" ht="23.25" customHeight="1">
      <c r="A34" s="742" t="s">
        <v>31</v>
      </c>
      <c r="B34" s="852" t="s">
        <v>32</v>
      </c>
      <c r="C34" s="761" t="s">
        <v>161</v>
      </c>
      <c r="D34" s="224" t="s">
        <v>215</v>
      </c>
      <c r="E34" s="255">
        <f aca="true" t="shared" si="6" ref="E34:J34">E35+E36</f>
        <v>1834.7</v>
      </c>
      <c r="F34" s="255">
        <f t="shared" si="6"/>
        <v>468</v>
      </c>
      <c r="G34" s="255">
        <f t="shared" si="6"/>
        <v>352.1</v>
      </c>
      <c r="H34" s="255">
        <f t="shared" si="6"/>
        <v>338.2</v>
      </c>
      <c r="I34" s="255">
        <f t="shared" si="6"/>
        <v>338.2</v>
      </c>
      <c r="J34" s="255">
        <f t="shared" si="6"/>
        <v>338.2</v>
      </c>
      <c r="K34" s="243"/>
      <c r="L34" s="256"/>
      <c r="M34" s="256"/>
      <c r="N34" s="256"/>
      <c r="O34" s="256"/>
      <c r="P34" s="256"/>
      <c r="Q34" s="257"/>
    </row>
    <row r="35" spans="1:17" s="229" customFormat="1" ht="15.75" customHeight="1">
      <c r="A35" s="1108"/>
      <c r="B35" s="832"/>
      <c r="C35" s="871"/>
      <c r="D35" s="251" t="s">
        <v>5</v>
      </c>
      <c r="E35" s="212">
        <f>SUM(F35:J35)</f>
        <v>1834.7</v>
      </c>
      <c r="F35" s="212">
        <v>468</v>
      </c>
      <c r="G35" s="211">
        <f>338.2+140-126.1</f>
        <v>352.1</v>
      </c>
      <c r="H35" s="212">
        <v>338.2</v>
      </c>
      <c r="I35" s="212">
        <v>338.2</v>
      </c>
      <c r="J35" s="212">
        <v>338.2</v>
      </c>
      <c r="K35" s="243" t="s">
        <v>244</v>
      </c>
      <c r="L35" s="252" t="s">
        <v>240</v>
      </c>
      <c r="M35" s="252" t="s">
        <v>240</v>
      </c>
      <c r="N35" s="252" t="s">
        <v>240</v>
      </c>
      <c r="O35" s="252" t="s">
        <v>240</v>
      </c>
      <c r="P35" s="252" t="s">
        <v>240</v>
      </c>
      <c r="Q35" s="761" t="s">
        <v>135</v>
      </c>
    </row>
    <row r="36" spans="1:17" s="229" customFormat="1" ht="23.25" customHeight="1">
      <c r="A36" s="1109"/>
      <c r="B36" s="833"/>
      <c r="C36" s="872"/>
      <c r="D36" s="253" t="s">
        <v>6</v>
      </c>
      <c r="E36" s="212">
        <f>SUM(F36:J36)</f>
        <v>0</v>
      </c>
      <c r="F36" s="254">
        <v>0</v>
      </c>
      <c r="G36" s="254">
        <v>0</v>
      </c>
      <c r="H36" s="254">
        <v>0</v>
      </c>
      <c r="I36" s="254">
        <v>0</v>
      </c>
      <c r="J36" s="254">
        <v>0</v>
      </c>
      <c r="K36" s="423" t="s">
        <v>245</v>
      </c>
      <c r="L36" s="252" t="s">
        <v>236</v>
      </c>
      <c r="M36" s="252" t="s">
        <v>236</v>
      </c>
      <c r="N36" s="252" t="s">
        <v>236</v>
      </c>
      <c r="O36" s="252" t="s">
        <v>236</v>
      </c>
      <c r="P36" s="252" t="s">
        <v>236</v>
      </c>
      <c r="Q36" s="775"/>
    </row>
    <row r="37" spans="1:17" s="229" customFormat="1" ht="22.5" customHeight="1">
      <c r="A37" s="742" t="s">
        <v>143</v>
      </c>
      <c r="B37" s="852" t="s">
        <v>145</v>
      </c>
      <c r="C37" s="761" t="s">
        <v>162</v>
      </c>
      <c r="D37" s="224" t="s">
        <v>215</v>
      </c>
      <c r="E37" s="255">
        <f aca="true" t="shared" si="7" ref="E37:J37">E38</f>
        <v>14.3</v>
      </c>
      <c r="F37" s="255">
        <f t="shared" si="7"/>
        <v>14.3</v>
      </c>
      <c r="G37" s="255">
        <f t="shared" si="7"/>
        <v>0</v>
      </c>
      <c r="H37" s="255">
        <f t="shared" si="7"/>
        <v>0</v>
      </c>
      <c r="I37" s="255">
        <f t="shared" si="7"/>
        <v>0</v>
      </c>
      <c r="J37" s="255">
        <f t="shared" si="7"/>
        <v>0</v>
      </c>
      <c r="K37" s="243"/>
      <c r="L37" s="256"/>
      <c r="M37" s="256"/>
      <c r="N37" s="256"/>
      <c r="O37" s="256"/>
      <c r="P37" s="256"/>
      <c r="Q37" s="257"/>
    </row>
    <row r="38" spans="1:17" s="229" customFormat="1" ht="21" customHeight="1">
      <c r="A38" s="828"/>
      <c r="B38" s="832"/>
      <c r="C38" s="871"/>
      <c r="D38" s="844" t="s">
        <v>5</v>
      </c>
      <c r="E38" s="830">
        <f>SUM(F38:J39)</f>
        <v>14.3</v>
      </c>
      <c r="F38" s="830">
        <v>14.3</v>
      </c>
      <c r="G38" s="830">
        <v>0</v>
      </c>
      <c r="H38" s="830">
        <v>0</v>
      </c>
      <c r="I38" s="830">
        <v>0</v>
      </c>
      <c r="J38" s="830">
        <v>0</v>
      </c>
      <c r="K38" s="243" t="s">
        <v>244</v>
      </c>
      <c r="L38" s="252" t="s">
        <v>236</v>
      </c>
      <c r="M38" s="252">
        <v>0</v>
      </c>
      <c r="N38" s="252">
        <v>0</v>
      </c>
      <c r="O38" s="252">
        <v>0</v>
      </c>
      <c r="P38" s="252">
        <v>0</v>
      </c>
      <c r="Q38" s="761" t="s">
        <v>144</v>
      </c>
    </row>
    <row r="39" spans="1:17" s="229" customFormat="1" ht="24" customHeight="1">
      <c r="A39" s="827"/>
      <c r="B39" s="833"/>
      <c r="C39" s="872"/>
      <c r="D39" s="845"/>
      <c r="E39" s="839"/>
      <c r="F39" s="839"/>
      <c r="G39" s="839"/>
      <c r="H39" s="839"/>
      <c r="I39" s="839"/>
      <c r="J39" s="839"/>
      <c r="K39" s="243" t="s">
        <v>245</v>
      </c>
      <c r="L39" s="252" t="s">
        <v>236</v>
      </c>
      <c r="M39" s="252">
        <v>0</v>
      </c>
      <c r="N39" s="252">
        <v>0</v>
      </c>
      <c r="O39" s="252">
        <v>0</v>
      </c>
      <c r="P39" s="252">
        <v>0</v>
      </c>
      <c r="Q39" s="775"/>
    </row>
    <row r="40" spans="1:17" s="229" customFormat="1" ht="21.75" customHeight="1">
      <c r="A40" s="742" t="s">
        <v>148</v>
      </c>
      <c r="B40" s="852" t="s">
        <v>149</v>
      </c>
      <c r="C40" s="761" t="s">
        <v>162</v>
      </c>
      <c r="D40" s="258" t="s">
        <v>215</v>
      </c>
      <c r="E40" s="259">
        <f aca="true" t="shared" si="8" ref="E40:J40">E41</f>
        <v>25</v>
      </c>
      <c r="F40" s="259">
        <f t="shared" si="8"/>
        <v>25</v>
      </c>
      <c r="G40" s="259">
        <f t="shared" si="8"/>
        <v>0</v>
      </c>
      <c r="H40" s="259">
        <f t="shared" si="8"/>
        <v>0</v>
      </c>
      <c r="I40" s="259">
        <f t="shared" si="8"/>
        <v>0</v>
      </c>
      <c r="J40" s="259">
        <f t="shared" si="8"/>
        <v>0</v>
      </c>
      <c r="K40" s="852" t="s">
        <v>244</v>
      </c>
      <c r="L40" s="727" t="s">
        <v>236</v>
      </c>
      <c r="M40" s="727">
        <v>0</v>
      </c>
      <c r="N40" s="727">
        <v>0</v>
      </c>
      <c r="O40" s="727">
        <v>0</v>
      </c>
      <c r="P40" s="727">
        <v>0</v>
      </c>
      <c r="Q40" s="761" t="s">
        <v>135</v>
      </c>
    </row>
    <row r="41" spans="1:17" s="229" customFormat="1" ht="2.25" customHeight="1" hidden="1">
      <c r="A41" s="828"/>
      <c r="B41" s="832"/>
      <c r="C41" s="871"/>
      <c r="D41" s="844" t="s">
        <v>5</v>
      </c>
      <c r="E41" s="830">
        <f>SUM(F41:J42)</f>
        <v>25</v>
      </c>
      <c r="F41" s="830">
        <v>25</v>
      </c>
      <c r="G41" s="830">
        <v>0</v>
      </c>
      <c r="H41" s="830">
        <v>0</v>
      </c>
      <c r="I41" s="830">
        <v>0</v>
      </c>
      <c r="J41" s="830">
        <v>0</v>
      </c>
      <c r="K41" s="833"/>
      <c r="L41" s="1096"/>
      <c r="M41" s="1096"/>
      <c r="N41" s="1096"/>
      <c r="O41" s="1096"/>
      <c r="P41" s="1096"/>
      <c r="Q41" s="871"/>
    </row>
    <row r="42" spans="1:17" s="229" customFormat="1" ht="39" customHeight="1" thickBot="1">
      <c r="A42" s="827"/>
      <c r="B42" s="833"/>
      <c r="C42" s="872"/>
      <c r="D42" s="893"/>
      <c r="E42" s="831"/>
      <c r="F42" s="831"/>
      <c r="G42" s="831"/>
      <c r="H42" s="831"/>
      <c r="I42" s="831"/>
      <c r="J42" s="831"/>
      <c r="K42" s="243" t="s">
        <v>245</v>
      </c>
      <c r="L42" s="252" t="s">
        <v>236</v>
      </c>
      <c r="M42" s="252">
        <v>0</v>
      </c>
      <c r="N42" s="252">
        <v>0</v>
      </c>
      <c r="O42" s="252">
        <v>0</v>
      </c>
      <c r="P42" s="252">
        <v>0</v>
      </c>
      <c r="Q42" s="872"/>
    </row>
    <row r="43" spans="1:17" s="233" customFormat="1" ht="12" customHeight="1">
      <c r="A43" s="755"/>
      <c r="B43" s="823" t="s">
        <v>33</v>
      </c>
      <c r="C43" s="791"/>
      <c r="D43" s="232" t="s">
        <v>11</v>
      </c>
      <c r="E43" s="1082">
        <f>F43+G43+H43+I43+J43</f>
        <v>1874.0000000000002</v>
      </c>
      <c r="F43" s="1082">
        <f>SUM(F45:F46)</f>
        <v>507.3</v>
      </c>
      <c r="G43" s="1082">
        <f>SUM(G45:G46)</f>
        <v>352.1</v>
      </c>
      <c r="H43" s="1082">
        <f>SUM(H45:H46)</f>
        <v>338.2</v>
      </c>
      <c r="I43" s="1082">
        <f>SUM(I45:I46)</f>
        <v>338.2</v>
      </c>
      <c r="J43" s="1084">
        <f>SUM(J45:J46)</f>
        <v>338.2</v>
      </c>
      <c r="K43" s="1086"/>
      <c r="L43" s="755"/>
      <c r="M43" s="755"/>
      <c r="N43" s="755"/>
      <c r="O43" s="755"/>
      <c r="P43" s="755"/>
      <c r="Q43" s="1079"/>
    </row>
    <row r="44" spans="1:17" s="233" customFormat="1" ht="13.5" customHeight="1">
      <c r="A44" s="755"/>
      <c r="B44" s="823"/>
      <c r="C44" s="791"/>
      <c r="D44" s="234" t="s">
        <v>12</v>
      </c>
      <c r="E44" s="1083"/>
      <c r="F44" s="1083"/>
      <c r="G44" s="1083"/>
      <c r="H44" s="1083"/>
      <c r="I44" s="1083"/>
      <c r="J44" s="1085"/>
      <c r="K44" s="1086"/>
      <c r="L44" s="755"/>
      <c r="M44" s="755"/>
      <c r="N44" s="755"/>
      <c r="O44" s="755"/>
      <c r="P44" s="755"/>
      <c r="Q44" s="1079"/>
    </row>
    <row r="45" spans="1:17" s="233" customFormat="1" ht="11.25" customHeight="1">
      <c r="A45" s="755"/>
      <c r="B45" s="823"/>
      <c r="C45" s="791"/>
      <c r="D45" s="235" t="s">
        <v>5</v>
      </c>
      <c r="E45" s="212">
        <f>SUM(F45:J45)</f>
        <v>1874.0000000000002</v>
      </c>
      <c r="F45" s="236">
        <v>507.3</v>
      </c>
      <c r="G45" s="179">
        <f>SUM(G32,G35,G38:G42)</f>
        <v>352.1</v>
      </c>
      <c r="H45" s="236">
        <f>SUM(H32,H35,H38:H42)</f>
        <v>338.2</v>
      </c>
      <c r="I45" s="236">
        <f>SUM(I32,I35,I38:I42)</f>
        <v>338.2</v>
      </c>
      <c r="J45" s="237">
        <f>SUM(J32,J35,J38:J42)</f>
        <v>338.2</v>
      </c>
      <c r="K45" s="1086"/>
      <c r="L45" s="755"/>
      <c r="M45" s="755"/>
      <c r="N45" s="755"/>
      <c r="O45" s="755"/>
      <c r="P45" s="755"/>
      <c r="Q45" s="1079"/>
    </row>
    <row r="46" spans="1:17" s="233" customFormat="1" ht="14.25" customHeight="1" thickBot="1">
      <c r="A46" s="755"/>
      <c r="B46" s="823"/>
      <c r="C46" s="791"/>
      <c r="D46" s="238" t="s">
        <v>6</v>
      </c>
      <c r="E46" s="239">
        <f>SUM(F46:H46)</f>
        <v>0</v>
      </c>
      <c r="F46" s="239">
        <v>0</v>
      </c>
      <c r="G46" s="239">
        <v>0</v>
      </c>
      <c r="H46" s="239">
        <v>0</v>
      </c>
      <c r="I46" s="239">
        <v>0</v>
      </c>
      <c r="J46" s="240">
        <v>0</v>
      </c>
      <c r="K46" s="1086"/>
      <c r="L46" s="755"/>
      <c r="M46" s="755"/>
      <c r="N46" s="755"/>
      <c r="O46" s="755"/>
      <c r="P46" s="755"/>
      <c r="Q46" s="1079"/>
    </row>
    <row r="47" spans="1:17" s="229" customFormat="1" ht="12.75" customHeight="1">
      <c r="A47" s="260" t="s">
        <v>34</v>
      </c>
      <c r="B47" s="1087" t="s">
        <v>35</v>
      </c>
      <c r="C47" s="1088"/>
      <c r="D47" s="1089"/>
      <c r="E47" s="1089"/>
      <c r="F47" s="1089"/>
      <c r="G47" s="1089"/>
      <c r="H47" s="1089"/>
      <c r="I47" s="1089"/>
      <c r="J47" s="1089"/>
      <c r="K47" s="1088"/>
      <c r="L47" s="1088"/>
      <c r="M47" s="1088"/>
      <c r="N47" s="1088"/>
      <c r="O47" s="1088"/>
      <c r="P47" s="1088"/>
      <c r="Q47" s="1090"/>
    </row>
    <row r="48" spans="1:17" s="229" customFormat="1" ht="23.25" customHeight="1">
      <c r="A48" s="745" t="s">
        <v>36</v>
      </c>
      <c r="B48" s="1077" t="s">
        <v>37</v>
      </c>
      <c r="C48" s="1079" t="s">
        <v>161</v>
      </c>
      <c r="D48" s="224" t="s">
        <v>215</v>
      </c>
      <c r="E48" s="242">
        <f aca="true" t="shared" si="9" ref="E48:J48">E49</f>
        <v>313.1</v>
      </c>
      <c r="F48" s="242">
        <f t="shared" si="9"/>
        <v>184.4</v>
      </c>
      <c r="G48" s="242">
        <f t="shared" si="9"/>
        <v>128.7</v>
      </c>
      <c r="H48" s="242">
        <f t="shared" si="9"/>
        <v>0</v>
      </c>
      <c r="I48" s="242">
        <f t="shared" si="9"/>
        <v>0</v>
      </c>
      <c r="J48" s="242">
        <f t="shared" si="9"/>
        <v>0</v>
      </c>
      <c r="K48" s="228"/>
      <c r="L48" s="228"/>
      <c r="M48" s="228"/>
      <c r="N48" s="228"/>
      <c r="O48" s="228"/>
      <c r="P48" s="228"/>
      <c r="Q48" s="228"/>
    </row>
    <row r="49" spans="1:17" s="229" customFormat="1" ht="36.75" customHeight="1">
      <c r="A49" s="869"/>
      <c r="B49" s="864"/>
      <c r="C49" s="1094"/>
      <c r="D49" s="844" t="s">
        <v>5</v>
      </c>
      <c r="E49" s="830">
        <f>SUM(F49:J50)</f>
        <v>313.1</v>
      </c>
      <c r="F49" s="830">
        <f>71.1-28+156.9-15.6</f>
        <v>184.4</v>
      </c>
      <c r="G49" s="830">
        <f>160-31.3</f>
        <v>128.7</v>
      </c>
      <c r="H49" s="830">
        <v>0</v>
      </c>
      <c r="I49" s="830">
        <v>0</v>
      </c>
      <c r="J49" s="830">
        <v>0</v>
      </c>
      <c r="K49" s="243" t="s">
        <v>246</v>
      </c>
      <c r="L49" s="228">
        <v>25</v>
      </c>
      <c r="M49" s="228">
        <v>25</v>
      </c>
      <c r="N49" s="228">
        <v>0</v>
      </c>
      <c r="O49" s="228">
        <v>0</v>
      </c>
      <c r="P49" s="228">
        <v>0</v>
      </c>
      <c r="Q49" s="761" t="s">
        <v>146</v>
      </c>
    </row>
    <row r="50" spans="1:17" s="229" customFormat="1" ht="21.75" customHeight="1" thickBot="1">
      <c r="A50" s="869"/>
      <c r="B50" s="864"/>
      <c r="C50" s="1094"/>
      <c r="D50" s="893"/>
      <c r="E50" s="831"/>
      <c r="F50" s="831"/>
      <c r="G50" s="831"/>
      <c r="H50" s="831"/>
      <c r="I50" s="831"/>
      <c r="J50" s="831"/>
      <c r="K50" s="243" t="s">
        <v>247</v>
      </c>
      <c r="L50" s="252" t="s">
        <v>236</v>
      </c>
      <c r="M50" s="252" t="s">
        <v>236</v>
      </c>
      <c r="N50" s="252" t="s">
        <v>213</v>
      </c>
      <c r="O50" s="252" t="s">
        <v>213</v>
      </c>
      <c r="P50" s="252" t="s">
        <v>213</v>
      </c>
      <c r="Q50" s="775"/>
    </row>
    <row r="51" spans="1:17" s="229" customFormat="1" ht="23.25" customHeight="1">
      <c r="A51" s="742"/>
      <c r="B51" s="852" t="s">
        <v>48</v>
      </c>
      <c r="C51" s="1099"/>
      <c r="D51" s="261" t="s">
        <v>228</v>
      </c>
      <c r="E51" s="262">
        <f aca="true" t="shared" si="10" ref="E51:J51">E49</f>
        <v>313.1</v>
      </c>
      <c r="F51" s="262">
        <f t="shared" si="10"/>
        <v>184.4</v>
      </c>
      <c r="G51" s="262">
        <f t="shared" si="10"/>
        <v>128.7</v>
      </c>
      <c r="H51" s="262">
        <f t="shared" si="10"/>
        <v>0</v>
      </c>
      <c r="I51" s="262">
        <f t="shared" si="10"/>
        <v>0</v>
      </c>
      <c r="J51" s="263">
        <f t="shared" si="10"/>
        <v>0</v>
      </c>
      <c r="K51" s="1110"/>
      <c r="L51" s="1099"/>
      <c r="M51" s="1099"/>
      <c r="N51" s="1099"/>
      <c r="O51" s="1099"/>
      <c r="P51" s="1099"/>
      <c r="Q51" s="1079"/>
    </row>
    <row r="52" spans="1:17" s="229" customFormat="1" ht="12.75" customHeight="1">
      <c r="A52" s="828"/>
      <c r="B52" s="1097"/>
      <c r="C52" s="1100"/>
      <c r="D52" s="248" t="s">
        <v>5</v>
      </c>
      <c r="E52" s="254">
        <f aca="true" t="shared" si="11" ref="E52:J52">E51</f>
        <v>313.1</v>
      </c>
      <c r="F52" s="254">
        <f t="shared" si="11"/>
        <v>184.4</v>
      </c>
      <c r="G52" s="254">
        <f t="shared" si="11"/>
        <v>128.7</v>
      </c>
      <c r="H52" s="254">
        <f t="shared" si="11"/>
        <v>0</v>
      </c>
      <c r="I52" s="254">
        <f t="shared" si="11"/>
        <v>0</v>
      </c>
      <c r="J52" s="264">
        <f t="shared" si="11"/>
        <v>0</v>
      </c>
      <c r="K52" s="1111"/>
      <c r="L52" s="1100"/>
      <c r="M52" s="1100"/>
      <c r="N52" s="1100"/>
      <c r="O52" s="1100"/>
      <c r="P52" s="1100"/>
      <c r="Q52" s="1080"/>
    </row>
    <row r="53" spans="1:17" s="229" customFormat="1" ht="18" customHeight="1" thickBot="1">
      <c r="A53" s="828"/>
      <c r="B53" s="1097"/>
      <c r="C53" s="1100"/>
      <c r="D53" s="265" t="s">
        <v>6</v>
      </c>
      <c r="E53" s="212">
        <v>0</v>
      </c>
      <c r="F53" s="212">
        <v>0</v>
      </c>
      <c r="G53" s="212">
        <v>0</v>
      </c>
      <c r="H53" s="212">
        <v>0</v>
      </c>
      <c r="I53" s="212">
        <v>0</v>
      </c>
      <c r="J53" s="266">
        <v>0</v>
      </c>
      <c r="K53" s="1112"/>
      <c r="L53" s="1101"/>
      <c r="M53" s="1101"/>
      <c r="N53" s="1101"/>
      <c r="O53" s="1101"/>
      <c r="P53" s="1101"/>
      <c r="Q53" s="1080"/>
    </row>
    <row r="54" spans="1:17" s="233" customFormat="1" ht="9.75" customHeight="1">
      <c r="A54" s="755"/>
      <c r="B54" s="823" t="s">
        <v>13</v>
      </c>
      <c r="C54" s="1073"/>
      <c r="D54" s="232" t="s">
        <v>11</v>
      </c>
      <c r="E54" s="1113">
        <f>SUM(F54:J54)</f>
        <v>4100.3</v>
      </c>
      <c r="F54" s="1113">
        <f>SUM(F56:F57)</f>
        <v>1011.5999999999999</v>
      </c>
      <c r="G54" s="1113">
        <f>SUM(G56:G57)</f>
        <v>853.4</v>
      </c>
      <c r="H54" s="1113">
        <f>SUM(H56:H57)</f>
        <v>736.5</v>
      </c>
      <c r="I54" s="1113">
        <f>SUM(I56:I57)</f>
        <v>749.4</v>
      </c>
      <c r="J54" s="1115">
        <f>SUM(J56:J57)</f>
        <v>749.4</v>
      </c>
      <c r="K54" s="1117"/>
      <c r="L54" s="741"/>
      <c r="M54" s="741"/>
      <c r="N54" s="741"/>
      <c r="O54" s="741"/>
      <c r="P54" s="741"/>
      <c r="Q54" s="775"/>
    </row>
    <row r="55" spans="1:17" s="233" customFormat="1" ht="13.5" customHeight="1">
      <c r="A55" s="755"/>
      <c r="B55" s="823"/>
      <c r="C55" s="1073"/>
      <c r="D55" s="234" t="s">
        <v>12</v>
      </c>
      <c r="E55" s="1114"/>
      <c r="F55" s="1114"/>
      <c r="G55" s="1114"/>
      <c r="H55" s="1114"/>
      <c r="I55" s="1114"/>
      <c r="J55" s="1116"/>
      <c r="K55" s="1086"/>
      <c r="L55" s="755"/>
      <c r="M55" s="755"/>
      <c r="N55" s="755"/>
      <c r="O55" s="755"/>
      <c r="P55" s="755"/>
      <c r="Q55" s="1079"/>
    </row>
    <row r="56" spans="1:17" s="233" customFormat="1" ht="15" customHeight="1">
      <c r="A56" s="755"/>
      <c r="B56" s="823"/>
      <c r="C56" s="1073"/>
      <c r="D56" s="235" t="s">
        <v>5</v>
      </c>
      <c r="E56" s="236">
        <f>SUM(F56:J56)</f>
        <v>2742.3999999999996</v>
      </c>
      <c r="F56" s="236">
        <f>SUM(F13,F23:F26,F35,F49,F38,F41)</f>
        <v>762.9999999999999</v>
      </c>
      <c r="G56" s="179">
        <f>SUM(G13,G23:G26,G35,G49,G38:G42)</f>
        <v>604.8</v>
      </c>
      <c r="H56" s="236">
        <f>SUM(H13,H23:H26,H35,H49,H38:H42)</f>
        <v>458.2</v>
      </c>
      <c r="I56" s="236">
        <f>SUM(I13,I23:I26,I35,I49,I38:I42)</f>
        <v>458.2</v>
      </c>
      <c r="J56" s="237">
        <f>SUM(J13,J23:J26,J35,J49,J38:J42)</f>
        <v>458.2</v>
      </c>
      <c r="K56" s="1086"/>
      <c r="L56" s="755"/>
      <c r="M56" s="755"/>
      <c r="N56" s="755"/>
      <c r="O56" s="755"/>
      <c r="P56" s="755"/>
      <c r="Q56" s="1079"/>
    </row>
    <row r="57" spans="1:17" s="233" customFormat="1" ht="13.5" customHeight="1" thickBot="1">
      <c r="A57" s="755"/>
      <c r="B57" s="823"/>
      <c r="C57" s="1073"/>
      <c r="D57" s="238" t="s">
        <v>6</v>
      </c>
      <c r="E57" s="239">
        <f>SUM(F57:J57)</f>
        <v>1357.9</v>
      </c>
      <c r="F57" s="239">
        <f>SUM(F10,F33,F36,F50)</f>
        <v>248.6</v>
      </c>
      <c r="G57" s="239">
        <f>SUM(G10,G33,G36,G50)</f>
        <v>248.6</v>
      </c>
      <c r="H57" s="239">
        <f>SUM(H10,H33,H36,H50)</f>
        <v>278.3</v>
      </c>
      <c r="I57" s="239">
        <f>SUM(I10,I33,I36,I50)</f>
        <v>291.2</v>
      </c>
      <c r="J57" s="240">
        <f>SUM(J10,J33,J36,J50)</f>
        <v>291.2</v>
      </c>
      <c r="K57" s="1118"/>
      <c r="L57" s="730"/>
      <c r="M57" s="730"/>
      <c r="N57" s="730"/>
      <c r="O57" s="730"/>
      <c r="P57" s="730"/>
      <c r="Q57" s="761"/>
    </row>
    <row r="58" spans="1:17" s="229" customFormat="1" ht="18.75" customHeight="1">
      <c r="A58" s="267"/>
      <c r="B58" s="268"/>
      <c r="C58" s="268"/>
      <c r="D58" s="269"/>
      <c r="E58" s="268"/>
      <c r="F58" s="268"/>
      <c r="G58" s="268"/>
      <c r="H58" s="268"/>
      <c r="I58" s="268"/>
      <c r="J58" s="268"/>
      <c r="K58" s="270"/>
      <c r="L58" s="270"/>
      <c r="M58" s="270"/>
      <c r="N58" s="270"/>
      <c r="O58" s="270"/>
      <c r="P58" s="270"/>
      <c r="Q58" s="271"/>
    </row>
    <row r="59" spans="1:17" s="229" customFormat="1" ht="18.75" customHeight="1">
      <c r="A59" s="267"/>
      <c r="B59" s="268"/>
      <c r="C59" s="268"/>
      <c r="D59" s="269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72"/>
    </row>
    <row r="60" spans="1:17" s="229" customFormat="1" ht="18.75" customHeight="1">
      <c r="A60" s="267"/>
      <c r="B60" s="268"/>
      <c r="C60" s="268"/>
      <c r="D60" s="269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72"/>
    </row>
    <row r="61" spans="1:17" s="229" customFormat="1" ht="18.75" customHeight="1">
      <c r="A61" s="267"/>
      <c r="B61" s="268"/>
      <c r="C61" s="268"/>
      <c r="D61" s="269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72"/>
    </row>
    <row r="62" spans="1:17" s="229" customFormat="1" ht="18.75" customHeight="1">
      <c r="A62" s="273"/>
      <c r="B62" s="274"/>
      <c r="C62" s="274"/>
      <c r="D62" s="275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6"/>
    </row>
    <row r="63" spans="1:17" s="229" customFormat="1" ht="18.75" customHeight="1">
      <c r="A63" s="273"/>
      <c r="B63" s="274"/>
      <c r="C63" s="274"/>
      <c r="D63" s="275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6"/>
    </row>
    <row r="64" spans="1:17" s="229" customFormat="1" ht="18.75" customHeight="1">
      <c r="A64" s="273"/>
      <c r="B64" s="274"/>
      <c r="C64" s="274"/>
      <c r="D64" s="275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6"/>
    </row>
    <row r="65" spans="1:17" s="229" customFormat="1" ht="18.75" customHeight="1">
      <c r="A65" s="273"/>
      <c r="B65" s="274"/>
      <c r="C65" s="274"/>
      <c r="D65" s="275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6"/>
    </row>
    <row r="66" spans="1:17" s="229" customFormat="1" ht="18.75" customHeight="1">
      <c r="A66" s="273"/>
      <c r="B66" s="274"/>
      <c r="C66" s="274"/>
      <c r="D66" s="275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6"/>
    </row>
    <row r="67" spans="1:17" s="229" customFormat="1" ht="18.75" customHeight="1">
      <c r="A67" s="273"/>
      <c r="B67" s="274"/>
      <c r="C67" s="274"/>
      <c r="D67" s="275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6"/>
    </row>
    <row r="68" spans="1:17" s="229" customFormat="1" ht="18.75" customHeight="1">
      <c r="A68" s="273"/>
      <c r="B68" s="274"/>
      <c r="C68" s="274"/>
      <c r="D68" s="275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6"/>
    </row>
    <row r="69" spans="1:17" s="229" customFormat="1" ht="18.75" customHeight="1">
      <c r="A69" s="273"/>
      <c r="B69" s="274"/>
      <c r="C69" s="274"/>
      <c r="D69" s="275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6"/>
    </row>
    <row r="70" spans="1:17" s="229" customFormat="1" ht="18.75" customHeight="1">
      <c r="A70" s="273"/>
      <c r="B70" s="274"/>
      <c r="C70" s="274"/>
      <c r="D70" s="275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6"/>
    </row>
    <row r="71" spans="1:17" s="229" customFormat="1" ht="18.75" customHeight="1">
      <c r="A71" s="273"/>
      <c r="B71" s="274"/>
      <c r="C71" s="274"/>
      <c r="D71" s="275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6"/>
    </row>
    <row r="72" spans="1:17" s="229" customFormat="1" ht="18.75" customHeight="1">
      <c r="A72" s="273"/>
      <c r="B72" s="274"/>
      <c r="C72" s="274"/>
      <c r="D72" s="275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6"/>
    </row>
    <row r="73" spans="1:17" s="229" customFormat="1" ht="18.75" customHeight="1">
      <c r="A73" s="273"/>
      <c r="B73" s="274"/>
      <c r="C73" s="274"/>
      <c r="D73" s="275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6"/>
    </row>
    <row r="74" spans="1:17" s="229" customFormat="1" ht="18.75" customHeight="1">
      <c r="A74" s="273"/>
      <c r="B74" s="274"/>
      <c r="C74" s="274"/>
      <c r="D74" s="275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6"/>
    </row>
    <row r="75" spans="1:17" s="229" customFormat="1" ht="18.75" customHeight="1">
      <c r="A75" s="273"/>
      <c r="B75" s="274"/>
      <c r="C75" s="274"/>
      <c r="D75" s="275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6"/>
    </row>
    <row r="76" spans="1:17" s="229" customFormat="1" ht="18.75" customHeight="1">
      <c r="A76" s="273"/>
      <c r="B76" s="274"/>
      <c r="C76" s="274"/>
      <c r="D76" s="275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6"/>
    </row>
    <row r="77" spans="1:17" s="229" customFormat="1" ht="18.75" customHeight="1">
      <c r="A77" s="273"/>
      <c r="B77" s="274"/>
      <c r="C77" s="274"/>
      <c r="D77" s="275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6"/>
    </row>
    <row r="78" spans="1:17" s="229" customFormat="1" ht="18.75" customHeight="1">
      <c r="A78" s="273"/>
      <c r="B78" s="274"/>
      <c r="C78" s="274"/>
      <c r="D78" s="275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6"/>
    </row>
    <row r="79" spans="1:17" s="229" customFormat="1" ht="18.75" customHeight="1">
      <c r="A79" s="273"/>
      <c r="B79" s="274"/>
      <c r="C79" s="274"/>
      <c r="D79" s="275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6"/>
    </row>
    <row r="80" spans="1:17" s="229" customFormat="1" ht="18.75" customHeight="1">
      <c r="A80" s="273"/>
      <c r="B80" s="274"/>
      <c r="C80" s="274"/>
      <c r="D80" s="275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6"/>
    </row>
    <row r="81" spans="1:17" s="229" customFormat="1" ht="18.75" customHeight="1">
      <c r="A81" s="273"/>
      <c r="B81" s="274"/>
      <c r="C81" s="274"/>
      <c r="D81" s="275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6"/>
    </row>
    <row r="82" spans="1:17" ht="18.75" customHeight="1">
      <c r="A82" s="273"/>
      <c r="B82" s="277"/>
      <c r="C82" s="277"/>
      <c r="D82" s="275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6"/>
    </row>
    <row r="83" spans="1:17" ht="18.75" customHeight="1">
      <c r="A83" s="273"/>
      <c r="B83" s="277"/>
      <c r="C83" s="277"/>
      <c r="D83" s="275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6"/>
    </row>
    <row r="84" spans="1:17" ht="18.75" customHeight="1">
      <c r="A84" s="273"/>
      <c r="B84" s="277"/>
      <c r="C84" s="277"/>
      <c r="D84" s="275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6"/>
    </row>
    <row r="85" spans="1:17" ht="18.75" customHeight="1">
      <c r="A85" s="273"/>
      <c r="B85" s="277"/>
      <c r="C85" s="277"/>
      <c r="D85" s="275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6"/>
    </row>
    <row r="86" spans="1:17" ht="18.75" customHeight="1">
      <c r="A86" s="278"/>
      <c r="B86" s="279"/>
      <c r="C86" s="279"/>
      <c r="D86" s="280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81"/>
    </row>
    <row r="87" spans="1:17" ht="18.75" customHeight="1">
      <c r="A87" s="278"/>
      <c r="B87" s="279"/>
      <c r="C87" s="279"/>
      <c r="D87" s="280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  <c r="Q87" s="281"/>
    </row>
    <row r="88" spans="1:17" ht="18.75" customHeight="1">
      <c r="A88" s="278"/>
      <c r="B88" s="279"/>
      <c r="C88" s="279"/>
      <c r="D88" s="280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81"/>
    </row>
    <row r="89" spans="1:17" ht="18.75" customHeight="1">
      <c r="A89" s="278"/>
      <c r="B89" s="279"/>
      <c r="C89" s="279"/>
      <c r="D89" s="280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81"/>
    </row>
    <row r="90" spans="1:17" ht="18.75" customHeight="1">
      <c r="A90" s="278"/>
      <c r="B90" s="279"/>
      <c r="C90" s="279"/>
      <c r="D90" s="280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81"/>
    </row>
    <row r="91" spans="1:17" ht="18.75" customHeight="1">
      <c r="A91" s="278"/>
      <c r="B91" s="279"/>
      <c r="C91" s="279"/>
      <c r="D91" s="280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81"/>
    </row>
    <row r="92" spans="1:17" ht="18.75" customHeight="1">
      <c r="A92" s="278"/>
      <c r="B92" s="279"/>
      <c r="C92" s="279"/>
      <c r="D92" s="280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81"/>
    </row>
    <row r="93" spans="1:17" ht="18.75" customHeight="1">
      <c r="A93" s="278"/>
      <c r="B93" s="279"/>
      <c r="C93" s="279"/>
      <c r="D93" s="280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81"/>
    </row>
    <row r="94" spans="1:17" ht="18.75" customHeight="1">
      <c r="A94" s="278"/>
      <c r="B94" s="279"/>
      <c r="C94" s="279"/>
      <c r="D94" s="280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81"/>
    </row>
    <row r="95" spans="1:17" ht="18.75" customHeight="1">
      <c r="A95" s="278"/>
      <c r="B95" s="279"/>
      <c r="C95" s="279"/>
      <c r="D95" s="280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81"/>
    </row>
    <row r="96" spans="1:17" ht="18.75" customHeight="1">
      <c r="A96" s="278"/>
      <c r="B96" s="279"/>
      <c r="C96" s="279"/>
      <c r="D96" s="280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81"/>
    </row>
    <row r="97" spans="1:17" ht="18.75" customHeight="1">
      <c r="A97" s="278"/>
      <c r="B97" s="279"/>
      <c r="C97" s="279"/>
      <c r="D97" s="280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81"/>
    </row>
    <row r="98" spans="1:17" ht="18.75" customHeight="1">
      <c r="A98" s="278"/>
      <c r="B98" s="279"/>
      <c r="C98" s="279"/>
      <c r="D98" s="280"/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81"/>
    </row>
    <row r="99" spans="1:17" ht="18.75" customHeight="1">
      <c r="A99" s="278"/>
      <c r="B99" s="279"/>
      <c r="C99" s="279"/>
      <c r="D99" s="280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81"/>
    </row>
    <row r="100" spans="1:17" ht="18.75" customHeight="1">
      <c r="A100" s="278"/>
      <c r="B100" s="279"/>
      <c r="C100" s="279"/>
      <c r="D100" s="280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81"/>
    </row>
    <row r="101" spans="1:17" ht="18.75" customHeight="1">
      <c r="A101" s="278"/>
      <c r="B101" s="279"/>
      <c r="C101" s="279"/>
      <c r="D101" s="280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81"/>
    </row>
    <row r="102" spans="1:17" ht="18.75" customHeight="1">
      <c r="A102" s="278"/>
      <c r="B102" s="279"/>
      <c r="C102" s="279"/>
      <c r="D102" s="280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81"/>
    </row>
    <row r="103" spans="1:17" ht="18.75" customHeight="1">
      <c r="A103" s="278"/>
      <c r="B103" s="279"/>
      <c r="C103" s="279"/>
      <c r="D103" s="280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81"/>
    </row>
  </sheetData>
  <sheetProtection/>
  <mergeCells count="188">
    <mergeCell ref="N54:N57"/>
    <mergeCell ref="O54:O57"/>
    <mergeCell ref="P54:P57"/>
    <mergeCell ref="Q54:Q57"/>
    <mergeCell ref="H54:H55"/>
    <mergeCell ref="I54:I55"/>
    <mergeCell ref="J54:J55"/>
    <mergeCell ref="K54:K57"/>
    <mergeCell ref="L54:L57"/>
    <mergeCell ref="M54:M57"/>
    <mergeCell ref="N51:N53"/>
    <mergeCell ref="O51:O53"/>
    <mergeCell ref="P51:P53"/>
    <mergeCell ref="Q51:Q53"/>
    <mergeCell ref="A54:A57"/>
    <mergeCell ref="B54:B57"/>
    <mergeCell ref="C54:C57"/>
    <mergeCell ref="E54:E55"/>
    <mergeCell ref="F54:F55"/>
    <mergeCell ref="G54:G55"/>
    <mergeCell ref="H49:H50"/>
    <mergeCell ref="I49:I50"/>
    <mergeCell ref="J49:J50"/>
    <mergeCell ref="Q49:Q50"/>
    <mergeCell ref="A51:A53"/>
    <mergeCell ref="B51:B53"/>
    <mergeCell ref="C51:C53"/>
    <mergeCell ref="K51:K53"/>
    <mergeCell ref="L51:L53"/>
    <mergeCell ref="M51:M53"/>
    <mergeCell ref="P43:P46"/>
    <mergeCell ref="Q43:Q46"/>
    <mergeCell ref="B47:Q47"/>
    <mergeCell ref="A48:A50"/>
    <mergeCell ref="B48:B50"/>
    <mergeCell ref="C48:C50"/>
    <mergeCell ref="D49:D50"/>
    <mergeCell ref="E49:E50"/>
    <mergeCell ref="F49:F50"/>
    <mergeCell ref="G49:G50"/>
    <mergeCell ref="J43:J44"/>
    <mergeCell ref="K43:K46"/>
    <mergeCell ref="L43:L46"/>
    <mergeCell ref="M43:M46"/>
    <mergeCell ref="N43:N46"/>
    <mergeCell ref="O43:O46"/>
    <mergeCell ref="I41:I42"/>
    <mergeCell ref="J41:J42"/>
    <mergeCell ref="A43:A46"/>
    <mergeCell ref="B43:B46"/>
    <mergeCell ref="C43:C46"/>
    <mergeCell ref="E43:E44"/>
    <mergeCell ref="F43:F44"/>
    <mergeCell ref="G43:G44"/>
    <mergeCell ref="H43:H44"/>
    <mergeCell ref="I43:I44"/>
    <mergeCell ref="M40:M41"/>
    <mergeCell ref="N40:N41"/>
    <mergeCell ref="O40:O41"/>
    <mergeCell ref="P40:P41"/>
    <mergeCell ref="Q40:Q42"/>
    <mergeCell ref="D41:D42"/>
    <mergeCell ref="E41:E42"/>
    <mergeCell ref="F41:F42"/>
    <mergeCell ref="G41:G42"/>
    <mergeCell ref="H41:H42"/>
    <mergeCell ref="G38:G39"/>
    <mergeCell ref="H38:H39"/>
    <mergeCell ref="I38:I39"/>
    <mergeCell ref="J38:J39"/>
    <mergeCell ref="Q38:Q39"/>
    <mergeCell ref="A40:A42"/>
    <mergeCell ref="B40:B42"/>
    <mergeCell ref="C40:C42"/>
    <mergeCell ref="K40:K41"/>
    <mergeCell ref="L40:L41"/>
    <mergeCell ref="A34:A36"/>
    <mergeCell ref="B34:B36"/>
    <mergeCell ref="C34:C36"/>
    <mergeCell ref="Q35:Q36"/>
    <mergeCell ref="A37:A39"/>
    <mergeCell ref="B37:B39"/>
    <mergeCell ref="C37:C39"/>
    <mergeCell ref="D38:D39"/>
    <mergeCell ref="E38:E39"/>
    <mergeCell ref="F38:F39"/>
    <mergeCell ref="O27:O29"/>
    <mergeCell ref="P27:P29"/>
    <mergeCell ref="Q27:Q29"/>
    <mergeCell ref="B30:Q30"/>
    <mergeCell ref="A31:A33"/>
    <mergeCell ref="B31:B33"/>
    <mergeCell ref="C31:C33"/>
    <mergeCell ref="Q32:Q33"/>
    <mergeCell ref="A27:A29"/>
    <mergeCell ref="G25:G26"/>
    <mergeCell ref="H25:H26"/>
    <mergeCell ref="N27:N29"/>
    <mergeCell ref="L23:L25"/>
    <mergeCell ref="M23:M25"/>
    <mergeCell ref="N23:N25"/>
    <mergeCell ref="O23:O25"/>
    <mergeCell ref="P23:P25"/>
    <mergeCell ref="B27:B29"/>
    <mergeCell ref="C27:C29"/>
    <mergeCell ref="K27:K29"/>
    <mergeCell ref="L27:L29"/>
    <mergeCell ref="M27:M29"/>
    <mergeCell ref="D25:D26"/>
    <mergeCell ref="E25:E26"/>
    <mergeCell ref="F25:F26"/>
    <mergeCell ref="Q23:Q24"/>
    <mergeCell ref="Q25:Q26"/>
    <mergeCell ref="F23:F24"/>
    <mergeCell ref="G23:G24"/>
    <mergeCell ref="H23:H24"/>
    <mergeCell ref="I23:I24"/>
    <mergeCell ref="J23:J24"/>
    <mergeCell ref="K23:K25"/>
    <mergeCell ref="J25:J26"/>
    <mergeCell ref="I25:I26"/>
    <mergeCell ref="N17:N20"/>
    <mergeCell ref="O17:O20"/>
    <mergeCell ref="P17:P20"/>
    <mergeCell ref="Q17:Q20"/>
    <mergeCell ref="B21:Q21"/>
    <mergeCell ref="A22:A26"/>
    <mergeCell ref="B22:B26"/>
    <mergeCell ref="C22:C26"/>
    <mergeCell ref="D23:D24"/>
    <mergeCell ref="E23:E24"/>
    <mergeCell ref="H17:H18"/>
    <mergeCell ref="I17:I18"/>
    <mergeCell ref="J17:J18"/>
    <mergeCell ref="K17:K20"/>
    <mergeCell ref="L17:L20"/>
    <mergeCell ref="M17:M20"/>
    <mergeCell ref="A17:A20"/>
    <mergeCell ref="B17:B20"/>
    <mergeCell ref="C17:C20"/>
    <mergeCell ref="E17:E18"/>
    <mergeCell ref="F17:F18"/>
    <mergeCell ref="G17:G18"/>
    <mergeCell ref="N13:N14"/>
    <mergeCell ref="O13:O14"/>
    <mergeCell ref="P13:P14"/>
    <mergeCell ref="Q13:Q16"/>
    <mergeCell ref="K15:K16"/>
    <mergeCell ref="L15:L16"/>
    <mergeCell ref="M15:M16"/>
    <mergeCell ref="N15:N16"/>
    <mergeCell ref="O15:O16"/>
    <mergeCell ref="P15:P16"/>
    <mergeCell ref="H13:H16"/>
    <mergeCell ref="I13:I16"/>
    <mergeCell ref="J13:J16"/>
    <mergeCell ref="K13:K14"/>
    <mergeCell ref="L13:L14"/>
    <mergeCell ref="M13:M14"/>
    <mergeCell ref="I10:I11"/>
    <mergeCell ref="J10:J11"/>
    <mergeCell ref="Q10:Q11"/>
    <mergeCell ref="A12:A16"/>
    <mergeCell ref="B12:B16"/>
    <mergeCell ref="C12:C16"/>
    <mergeCell ref="D13:D16"/>
    <mergeCell ref="E13:E16"/>
    <mergeCell ref="F13:F16"/>
    <mergeCell ref="G13:G16"/>
    <mergeCell ref="B7:Q7"/>
    <mergeCell ref="B8:Q8"/>
    <mergeCell ref="A9:A11"/>
    <mergeCell ref="B9:B11"/>
    <mergeCell ref="C9:C11"/>
    <mergeCell ref="D10:D11"/>
    <mergeCell ref="E10:E11"/>
    <mergeCell ref="F10:F11"/>
    <mergeCell ref="G10:G11"/>
    <mergeCell ref="H10:H11"/>
    <mergeCell ref="H1:Q1"/>
    <mergeCell ref="A2:Q2"/>
    <mergeCell ref="A4:A5"/>
    <mergeCell ref="B4:B5"/>
    <mergeCell ref="C4:C5"/>
    <mergeCell ref="D4:D5"/>
    <mergeCell ref="E4:J4"/>
    <mergeCell ref="K4:P4"/>
    <mergeCell ref="Q4:Q5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53"/>
  <sheetViews>
    <sheetView zoomScaleSheetLayoutView="100" workbookViewId="0" topLeftCell="A1">
      <pane ySplit="345" topLeftCell="A4" activePane="bottomLeft" state="split"/>
      <selection pane="topLeft" activeCell="A1" sqref="A1"/>
      <selection pane="bottomLeft" activeCell="R1" sqref="R1"/>
    </sheetView>
  </sheetViews>
  <sheetFormatPr defaultColWidth="19.57421875" defaultRowHeight="18.75" customHeight="1"/>
  <cols>
    <col min="1" max="1" width="5.421875" style="6" customWidth="1"/>
    <col min="2" max="2" width="35.140625" style="1" customWidth="1"/>
    <col min="3" max="3" width="8.421875" style="1" customWidth="1"/>
    <col min="4" max="4" width="8.00390625" style="1" customWidth="1"/>
    <col min="5" max="10" width="7.421875" style="1" customWidth="1"/>
    <col min="11" max="11" width="20.00390625" style="1" customWidth="1"/>
    <col min="12" max="16" width="4.421875" style="1" customWidth="1"/>
    <col min="17" max="17" width="20.8515625" style="1" customWidth="1"/>
    <col min="18" max="16384" width="19.57421875" style="1" customWidth="1"/>
  </cols>
  <sheetData>
    <row r="1" spans="1:18" ht="62.25" customHeight="1">
      <c r="A1" s="28"/>
      <c r="B1" s="11"/>
      <c r="C1" s="11"/>
      <c r="D1" s="11"/>
      <c r="E1" s="11"/>
      <c r="F1" s="11"/>
      <c r="G1" s="786" t="s">
        <v>301</v>
      </c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59"/>
    </row>
    <row r="2" spans="1:17" ht="25.5" customHeight="1">
      <c r="A2" s="787" t="s">
        <v>202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787"/>
    </row>
    <row r="3" spans="1:17" ht="9" customHeight="1">
      <c r="A3" s="2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7</v>
      </c>
    </row>
    <row r="4" spans="1:17" ht="42" customHeight="1">
      <c r="A4" s="788" t="s">
        <v>16</v>
      </c>
      <c r="B4" s="776" t="s">
        <v>15</v>
      </c>
      <c r="C4" s="788" t="s">
        <v>164</v>
      </c>
      <c r="D4" s="788" t="s">
        <v>165</v>
      </c>
      <c r="E4" s="778" t="s">
        <v>0</v>
      </c>
      <c r="F4" s="779"/>
      <c r="G4" s="779"/>
      <c r="H4" s="779"/>
      <c r="I4" s="779"/>
      <c r="J4" s="780"/>
      <c r="K4" s="778" t="s">
        <v>17</v>
      </c>
      <c r="L4" s="779"/>
      <c r="M4" s="779"/>
      <c r="N4" s="779"/>
      <c r="O4" s="779"/>
      <c r="P4" s="780"/>
      <c r="Q4" s="776" t="s">
        <v>14</v>
      </c>
    </row>
    <row r="5" spans="1:17" ht="12" customHeight="1">
      <c r="A5" s="788"/>
      <c r="B5" s="777"/>
      <c r="C5" s="788"/>
      <c r="D5" s="788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777"/>
    </row>
    <row r="6" spans="1:17" ht="9.7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</row>
    <row r="7" spans="1:17" ht="21.75" customHeight="1">
      <c r="A7" s="13"/>
      <c r="B7" s="783" t="s">
        <v>195</v>
      </c>
      <c r="C7" s="782"/>
      <c r="D7" s="782"/>
      <c r="E7" s="782"/>
      <c r="F7" s="782"/>
      <c r="G7" s="782"/>
      <c r="H7" s="782"/>
      <c r="I7" s="782"/>
      <c r="J7" s="782"/>
      <c r="K7" s="782"/>
      <c r="L7" s="782"/>
      <c r="M7" s="782"/>
      <c r="N7" s="782"/>
      <c r="O7" s="782"/>
      <c r="P7" s="782"/>
      <c r="Q7" s="782"/>
    </row>
    <row r="8" spans="1:18" ht="34.5" customHeight="1">
      <c r="A8" s="20" t="s">
        <v>72</v>
      </c>
      <c r="B8" s="1136" t="s">
        <v>192</v>
      </c>
      <c r="C8" s="1136"/>
      <c r="D8" s="1136"/>
      <c r="E8" s="1136"/>
      <c r="F8" s="1136"/>
      <c r="G8" s="1136"/>
      <c r="H8" s="1136"/>
      <c r="I8" s="1136"/>
      <c r="J8" s="1136"/>
      <c r="K8" s="1136"/>
      <c r="L8" s="1136"/>
      <c r="M8" s="1136"/>
      <c r="N8" s="1136"/>
      <c r="O8" s="1136"/>
      <c r="P8" s="1136"/>
      <c r="Q8" s="1136"/>
      <c r="R8" s="1">
        <v>2016</v>
      </c>
    </row>
    <row r="9" spans="1:18" ht="69.75" customHeight="1">
      <c r="A9" s="93" t="s">
        <v>10</v>
      </c>
      <c r="B9" s="92" t="s">
        <v>170</v>
      </c>
      <c r="C9" s="89" t="s">
        <v>176</v>
      </c>
      <c r="D9" s="88" t="s">
        <v>167</v>
      </c>
      <c r="E9" s="90">
        <v>170</v>
      </c>
      <c r="F9" s="90">
        <v>34</v>
      </c>
      <c r="G9" s="90">
        <v>34</v>
      </c>
      <c r="H9" s="90">
        <v>34</v>
      </c>
      <c r="I9" s="90">
        <v>34</v>
      </c>
      <c r="J9" s="90">
        <v>34</v>
      </c>
      <c r="K9" s="104" t="s">
        <v>193</v>
      </c>
      <c r="L9" s="24">
        <v>20</v>
      </c>
      <c r="M9" s="24">
        <v>20</v>
      </c>
      <c r="N9" s="24">
        <v>20</v>
      </c>
      <c r="O9" s="24">
        <v>20</v>
      </c>
      <c r="P9" s="24">
        <v>20</v>
      </c>
      <c r="Q9" s="86" t="s">
        <v>171</v>
      </c>
      <c r="R9" s="1" t="s">
        <v>299</v>
      </c>
    </row>
    <row r="10" spans="1:18" ht="37.5" customHeight="1">
      <c r="A10" s="1121" t="s">
        <v>169</v>
      </c>
      <c r="B10" s="1119" t="s">
        <v>168</v>
      </c>
      <c r="C10" s="850" t="s">
        <v>175</v>
      </c>
      <c r="D10" s="906" t="s">
        <v>180</v>
      </c>
      <c r="E10" s="955">
        <v>80</v>
      </c>
      <c r="F10" s="955">
        <v>16</v>
      </c>
      <c r="G10" s="955">
        <v>16</v>
      </c>
      <c r="H10" s="955">
        <v>16</v>
      </c>
      <c r="I10" s="955">
        <v>16</v>
      </c>
      <c r="J10" s="955">
        <v>16</v>
      </c>
      <c r="K10" s="92" t="s">
        <v>173</v>
      </c>
      <c r="L10" s="24">
        <v>7</v>
      </c>
      <c r="M10" s="24">
        <v>8</v>
      </c>
      <c r="N10" s="24">
        <v>9</v>
      </c>
      <c r="O10" s="24">
        <v>9</v>
      </c>
      <c r="P10" s="24">
        <v>10</v>
      </c>
      <c r="Q10" s="758" t="s">
        <v>172</v>
      </c>
      <c r="R10" s="1" t="s">
        <v>299</v>
      </c>
    </row>
    <row r="11" spans="1:17" ht="36" customHeight="1">
      <c r="A11" s="1122"/>
      <c r="B11" s="1120"/>
      <c r="C11" s="850"/>
      <c r="D11" s="1006"/>
      <c r="E11" s="956"/>
      <c r="F11" s="956"/>
      <c r="G11" s="956"/>
      <c r="H11" s="956"/>
      <c r="I11" s="956"/>
      <c r="J11" s="956"/>
      <c r="K11" s="92" t="s">
        <v>174</v>
      </c>
      <c r="L11" s="24">
        <v>550</v>
      </c>
      <c r="M11" s="24">
        <v>555</v>
      </c>
      <c r="N11" s="24">
        <v>560</v>
      </c>
      <c r="O11" s="24">
        <v>570</v>
      </c>
      <c r="P11" s="24">
        <v>580</v>
      </c>
      <c r="Q11" s="929"/>
    </row>
    <row r="12" spans="1:17" ht="48" customHeight="1">
      <c r="A12" s="95" t="s">
        <v>190</v>
      </c>
      <c r="B12" s="100" t="s">
        <v>188</v>
      </c>
      <c r="C12" s="89" t="s">
        <v>191</v>
      </c>
      <c r="D12" s="85" t="s">
        <v>189</v>
      </c>
      <c r="E12" s="83">
        <v>20</v>
      </c>
      <c r="F12" s="83">
        <v>0</v>
      </c>
      <c r="G12" s="83">
        <v>5</v>
      </c>
      <c r="H12" s="83">
        <v>5</v>
      </c>
      <c r="I12" s="83">
        <v>5</v>
      </c>
      <c r="J12" s="83">
        <v>5</v>
      </c>
      <c r="K12" s="92" t="s">
        <v>186</v>
      </c>
      <c r="L12" s="24">
        <v>8</v>
      </c>
      <c r="M12" s="24">
        <v>9</v>
      </c>
      <c r="N12" s="24">
        <v>10</v>
      </c>
      <c r="O12" s="24">
        <v>11</v>
      </c>
      <c r="P12" s="24">
        <v>12</v>
      </c>
      <c r="Q12" s="98" t="s">
        <v>51</v>
      </c>
    </row>
    <row r="13" spans="1:17" ht="34.5" customHeight="1">
      <c r="A13" s="95"/>
      <c r="B13" s="99" t="s">
        <v>166</v>
      </c>
      <c r="C13" s="89"/>
      <c r="D13" s="101"/>
      <c r="E13" s="102">
        <v>270</v>
      </c>
      <c r="F13" s="102">
        <v>50</v>
      </c>
      <c r="G13" s="102">
        <v>55</v>
      </c>
      <c r="H13" s="102">
        <v>55</v>
      </c>
      <c r="I13" s="102">
        <v>55</v>
      </c>
      <c r="J13" s="102">
        <v>55</v>
      </c>
      <c r="K13" s="92"/>
      <c r="L13" s="24"/>
      <c r="M13" s="24"/>
      <c r="N13" s="24"/>
      <c r="O13" s="24"/>
      <c r="P13" s="24"/>
      <c r="Q13" s="98"/>
    </row>
    <row r="14" spans="1:17" ht="14.25" customHeight="1">
      <c r="A14" s="32" t="s">
        <v>24</v>
      </c>
      <c r="B14" s="986" t="s">
        <v>40</v>
      </c>
      <c r="C14" s="914"/>
      <c r="D14" s="914"/>
      <c r="E14" s="914"/>
      <c r="F14" s="914"/>
      <c r="G14" s="914"/>
      <c r="H14" s="914"/>
      <c r="I14" s="914"/>
      <c r="J14" s="914"/>
      <c r="K14" s="914"/>
      <c r="L14" s="914"/>
      <c r="M14" s="914"/>
      <c r="N14" s="914"/>
      <c r="O14" s="914"/>
      <c r="P14" s="914"/>
      <c r="Q14" s="987"/>
    </row>
    <row r="15" spans="1:18" ht="10.5" customHeight="1">
      <c r="A15" s="1121" t="s">
        <v>26</v>
      </c>
      <c r="B15" s="902" t="s">
        <v>184</v>
      </c>
      <c r="C15" s="993" t="s">
        <v>177</v>
      </c>
      <c r="D15" s="1024" t="s">
        <v>179</v>
      </c>
      <c r="E15" s="955">
        <v>35</v>
      </c>
      <c r="F15" s="955">
        <v>7</v>
      </c>
      <c r="G15" s="955">
        <v>7</v>
      </c>
      <c r="H15" s="955">
        <v>7</v>
      </c>
      <c r="I15" s="955">
        <v>7</v>
      </c>
      <c r="J15" s="955">
        <v>7</v>
      </c>
      <c r="K15" s="902" t="s">
        <v>183</v>
      </c>
      <c r="L15" s="1128">
        <v>4</v>
      </c>
      <c r="M15" s="1128">
        <v>5</v>
      </c>
      <c r="N15" s="1128">
        <v>6</v>
      </c>
      <c r="O15" s="1128">
        <v>7</v>
      </c>
      <c r="P15" s="1128">
        <v>8</v>
      </c>
      <c r="Q15" s="758" t="s">
        <v>182</v>
      </c>
      <c r="R15" s="1" t="s">
        <v>298</v>
      </c>
    </row>
    <row r="16" spans="1:17" ht="16.5" customHeight="1">
      <c r="A16" s="1131"/>
      <c r="B16" s="903"/>
      <c r="C16" s="1132"/>
      <c r="D16" s="1025"/>
      <c r="E16" s="958"/>
      <c r="F16" s="958"/>
      <c r="G16" s="958"/>
      <c r="H16" s="958"/>
      <c r="I16" s="958"/>
      <c r="J16" s="958"/>
      <c r="K16" s="903"/>
      <c r="L16" s="1129"/>
      <c r="M16" s="1129"/>
      <c r="N16" s="1129"/>
      <c r="O16" s="1129"/>
      <c r="P16" s="1129"/>
      <c r="Q16" s="784"/>
    </row>
    <row r="17" spans="1:17" ht="11.25" customHeight="1">
      <c r="A17" s="1131"/>
      <c r="B17" s="903"/>
      <c r="C17" s="1132"/>
      <c r="D17" s="1025"/>
      <c r="E17" s="958"/>
      <c r="F17" s="958"/>
      <c r="G17" s="958"/>
      <c r="H17" s="958"/>
      <c r="I17" s="958"/>
      <c r="J17" s="958"/>
      <c r="K17" s="1127"/>
      <c r="L17" s="1130"/>
      <c r="M17" s="1130"/>
      <c r="N17" s="1130"/>
      <c r="O17" s="1130"/>
      <c r="P17" s="1130"/>
      <c r="Q17" s="784"/>
    </row>
    <row r="18" spans="1:17" ht="45">
      <c r="A18" s="1122"/>
      <c r="B18" s="1127"/>
      <c r="C18" s="1133"/>
      <c r="D18" s="1026"/>
      <c r="E18" s="956"/>
      <c r="F18" s="956"/>
      <c r="G18" s="956"/>
      <c r="H18" s="956"/>
      <c r="I18" s="956"/>
      <c r="J18" s="956"/>
      <c r="K18" s="92" t="s">
        <v>187</v>
      </c>
      <c r="L18" s="14">
        <v>450</v>
      </c>
      <c r="M18" s="14">
        <v>455</v>
      </c>
      <c r="N18" s="14">
        <v>460</v>
      </c>
      <c r="O18" s="24">
        <v>465</v>
      </c>
      <c r="P18" s="24">
        <v>470</v>
      </c>
      <c r="Q18" s="929"/>
    </row>
    <row r="19" spans="1:17" ht="46.5" customHeight="1" thickBot="1">
      <c r="A19" s="94" t="s">
        <v>41</v>
      </c>
      <c r="B19" s="103" t="s">
        <v>194</v>
      </c>
      <c r="C19" s="86" t="s">
        <v>178</v>
      </c>
      <c r="D19" s="84" t="s">
        <v>181</v>
      </c>
      <c r="E19" s="82">
        <v>38</v>
      </c>
      <c r="F19" s="82">
        <v>18</v>
      </c>
      <c r="G19" s="82">
        <v>5</v>
      </c>
      <c r="H19" s="91">
        <v>5</v>
      </c>
      <c r="I19" s="91">
        <v>5</v>
      </c>
      <c r="J19" s="91">
        <v>5</v>
      </c>
      <c r="K19" s="23" t="s">
        <v>185</v>
      </c>
      <c r="L19" s="22">
        <v>4</v>
      </c>
      <c r="M19" s="22">
        <v>5</v>
      </c>
      <c r="N19" s="22">
        <v>6</v>
      </c>
      <c r="O19" s="74">
        <v>6</v>
      </c>
      <c r="P19" s="74">
        <v>7</v>
      </c>
      <c r="Q19" s="84" t="s">
        <v>51</v>
      </c>
    </row>
    <row r="20" spans="1:17" ht="6" customHeight="1">
      <c r="A20" s="822"/>
      <c r="B20" s="783" t="s">
        <v>197</v>
      </c>
      <c r="C20" s="816"/>
      <c r="D20" s="1137"/>
      <c r="E20" s="1134">
        <f>SUM(F20:J21)</f>
        <v>73</v>
      </c>
      <c r="F20" s="1134">
        <f>SUM(F15:F19)</f>
        <v>25</v>
      </c>
      <c r="G20" s="1134">
        <v>12</v>
      </c>
      <c r="H20" s="1123">
        <v>12</v>
      </c>
      <c r="I20" s="1123">
        <v>12</v>
      </c>
      <c r="J20" s="1123">
        <v>12</v>
      </c>
      <c r="K20" s="1030"/>
      <c r="L20" s="822"/>
      <c r="M20" s="822"/>
      <c r="N20" s="822"/>
      <c r="O20" s="822"/>
      <c r="P20" s="822"/>
      <c r="Q20" s="822"/>
    </row>
    <row r="21" spans="1:17" ht="8.25" customHeight="1" thickBot="1">
      <c r="A21" s="822"/>
      <c r="B21" s="783"/>
      <c r="C21" s="816"/>
      <c r="D21" s="1138"/>
      <c r="E21" s="1135"/>
      <c r="F21" s="1135"/>
      <c r="G21" s="1135"/>
      <c r="H21" s="1124"/>
      <c r="I21" s="1124"/>
      <c r="J21" s="1124"/>
      <c r="K21" s="1030"/>
      <c r="L21" s="822"/>
      <c r="M21" s="822"/>
      <c r="N21" s="822"/>
      <c r="O21" s="822"/>
      <c r="P21" s="822"/>
      <c r="Q21" s="822"/>
    </row>
    <row r="22" spans="1:17" ht="15" customHeight="1">
      <c r="A22" s="816"/>
      <c r="B22" s="1139" t="s">
        <v>196</v>
      </c>
      <c r="C22" s="1141"/>
      <c r="D22" s="18" t="s">
        <v>11</v>
      </c>
      <c r="E22" s="1143">
        <f>SUM(F22:J23)</f>
        <v>343</v>
      </c>
      <c r="F22" s="1145">
        <v>75</v>
      </c>
      <c r="G22" s="1143">
        <v>67</v>
      </c>
      <c r="H22" s="1125">
        <v>67</v>
      </c>
      <c r="I22" s="1125">
        <v>67</v>
      </c>
      <c r="J22" s="1125">
        <v>67</v>
      </c>
      <c r="K22" s="1030"/>
      <c r="L22" s="822"/>
      <c r="M22" s="822"/>
      <c r="N22" s="822"/>
      <c r="O22" s="822"/>
      <c r="P22" s="822"/>
      <c r="Q22" s="822"/>
    </row>
    <row r="23" spans="1:17" ht="21.75" customHeight="1" thickBot="1">
      <c r="A23" s="816"/>
      <c r="B23" s="1140"/>
      <c r="C23" s="1142"/>
      <c r="D23" s="19" t="s">
        <v>75</v>
      </c>
      <c r="E23" s="1144"/>
      <c r="F23" s="1146"/>
      <c r="G23" s="1144"/>
      <c r="H23" s="1126"/>
      <c r="I23" s="1126"/>
      <c r="J23" s="1126"/>
      <c r="K23" s="1030"/>
      <c r="L23" s="822"/>
      <c r="M23" s="822"/>
      <c r="N23" s="822"/>
      <c r="O23" s="822"/>
      <c r="P23" s="822"/>
      <c r="Q23" s="822"/>
    </row>
    <row r="24" spans="1:17" ht="18.75" customHeight="1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8.75" customHeight="1">
      <c r="A25" s="7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8.75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8.75" customHeight="1">
      <c r="A27" s="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8.75" customHeight="1">
      <c r="A28" s="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8.75" customHeight="1">
      <c r="A29" s="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8.75" customHeight="1">
      <c r="A30" s="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8.75" customHeight="1">
      <c r="A31" s="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8.75" customHeight="1">
      <c r="A32" s="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8.75" customHeight="1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8.75" customHeight="1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8.75" customHeight="1">
      <c r="A35" s="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8.75" customHeight="1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8.75" customHeight="1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8.75" customHeight="1">
      <c r="A38" s="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8.75" customHeight="1">
      <c r="A39" s="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8.75" customHeight="1">
      <c r="A40" s="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8.75" customHeight="1">
      <c r="A41" s="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8.75" customHeight="1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8.75" customHeight="1">
      <c r="A43" s="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8.75" customHeight="1">
      <c r="A44" s="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8.75" customHeight="1">
      <c r="A45" s="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8.75" customHeight="1">
      <c r="A46" s="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8.75" customHeight="1">
      <c r="A47" s="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8.75" customHeight="1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8.75" customHeight="1">
      <c r="A49" s="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8.75" customHeight="1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8.75" customHeight="1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8.75" customHeight="1">
      <c r="A52" s="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8.75" customHeight="1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</sheetData>
  <sheetProtection/>
  <mergeCells count="73">
    <mergeCell ref="Q22:Q23"/>
    <mergeCell ref="Q20:Q21"/>
    <mergeCell ref="A22:A23"/>
    <mergeCell ref="B22:B23"/>
    <mergeCell ref="C22:C23"/>
    <mergeCell ref="E22:E23"/>
    <mergeCell ref="F22:F23"/>
    <mergeCell ref="H22:H23"/>
    <mergeCell ref="H20:H21"/>
    <mergeCell ref="G22:G23"/>
    <mergeCell ref="A20:A21"/>
    <mergeCell ref="B20:B21"/>
    <mergeCell ref="C20:C21"/>
    <mergeCell ref="E20:E21"/>
    <mergeCell ref="F20:F21"/>
    <mergeCell ref="E15:E18"/>
    <mergeCell ref="D15:D18"/>
    <mergeCell ref="L15:L17"/>
    <mergeCell ref="G20:G21"/>
    <mergeCell ref="C4:C5"/>
    <mergeCell ref="D4:D5"/>
    <mergeCell ref="B8:Q8"/>
    <mergeCell ref="E4:J4"/>
    <mergeCell ref="K4:P4"/>
    <mergeCell ref="M20:M21"/>
    <mergeCell ref="N20:N21"/>
    <mergeCell ref="D20:D21"/>
    <mergeCell ref="Q4:Q5"/>
    <mergeCell ref="B4:B5"/>
    <mergeCell ref="B7:Q7"/>
    <mergeCell ref="A2:Q2"/>
    <mergeCell ref="A4:A5"/>
    <mergeCell ref="A15:A18"/>
    <mergeCell ref="C15:C18"/>
    <mergeCell ref="M15:M17"/>
    <mergeCell ref="N15:N17"/>
    <mergeCell ref="B15:B18"/>
    <mergeCell ref="Q15:Q18"/>
    <mergeCell ref="K15:K17"/>
    <mergeCell ref="O15:O17"/>
    <mergeCell ref="P15:P17"/>
    <mergeCell ref="G1:Q1"/>
    <mergeCell ref="F15:F18"/>
    <mergeCell ref="G15:G18"/>
    <mergeCell ref="H15:H18"/>
    <mergeCell ref="G10:G11"/>
    <mergeCell ref="H10:H11"/>
    <mergeCell ref="O20:O21"/>
    <mergeCell ref="P20:P21"/>
    <mergeCell ref="O22:O23"/>
    <mergeCell ref="P22:P23"/>
    <mergeCell ref="K22:K23"/>
    <mergeCell ref="L20:L21"/>
    <mergeCell ref="K20:K21"/>
    <mergeCell ref="L22:L23"/>
    <mergeCell ref="M22:M23"/>
    <mergeCell ref="N22:N23"/>
    <mergeCell ref="A10:A11"/>
    <mergeCell ref="E10:E11"/>
    <mergeCell ref="F10:F11"/>
    <mergeCell ref="I20:I21"/>
    <mergeCell ref="J20:J21"/>
    <mergeCell ref="I22:I23"/>
    <mergeCell ref="J22:J23"/>
    <mergeCell ref="I15:I18"/>
    <mergeCell ref="J15:J18"/>
    <mergeCell ref="B14:Q14"/>
    <mergeCell ref="I10:I11"/>
    <mergeCell ref="J10:J11"/>
    <mergeCell ref="Q10:Q11"/>
    <mergeCell ref="B10:B11"/>
    <mergeCell ref="C10:C11"/>
    <mergeCell ref="D10:D11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35"/>
  <sheetViews>
    <sheetView zoomScale="85" zoomScaleNormal="85" zoomScaleSheetLayoutView="100" workbookViewId="0" topLeftCell="A1">
      <pane ySplit="8" topLeftCell="A9" activePane="bottomLeft" state="frozen"/>
      <selection pane="topLeft" activeCell="R2" sqref="R2"/>
      <selection pane="bottomLeft" activeCell="B11" sqref="B11:B14"/>
    </sheetView>
  </sheetViews>
  <sheetFormatPr defaultColWidth="19.57421875" defaultRowHeight="18.75" customHeight="1"/>
  <cols>
    <col min="1" max="1" width="4.421875" style="340" customWidth="1"/>
    <col min="2" max="2" width="19.57421875" style="339" customWidth="1"/>
    <col min="3" max="3" width="6.00390625" style="415" customWidth="1"/>
    <col min="4" max="4" width="7.28125" style="3" customWidth="1"/>
    <col min="5" max="5" width="10.00390625" style="3" customWidth="1"/>
    <col min="6" max="7" width="7.421875" style="3" customWidth="1"/>
    <col min="8" max="11" width="7.8515625" style="3" customWidth="1"/>
    <col min="12" max="12" width="46.140625" style="1" customWidth="1"/>
    <col min="13" max="18" width="5.140625" style="1" customWidth="1"/>
    <col min="19" max="19" width="17.8515625" style="1" customWidth="1"/>
    <col min="20" max="16384" width="19.57421875" style="1" customWidth="1"/>
  </cols>
  <sheetData>
    <row r="1" spans="12:19" ht="25.5" customHeight="1">
      <c r="L1" s="786" t="s">
        <v>521</v>
      </c>
      <c r="M1" s="786"/>
      <c r="N1" s="786"/>
      <c r="O1" s="786"/>
      <c r="P1" s="786"/>
      <c r="Q1" s="786"/>
      <c r="R1" s="786"/>
      <c r="S1" s="786"/>
    </row>
    <row r="2" spans="8:19" ht="28.5" customHeight="1">
      <c r="H2" s="1"/>
      <c r="I2" s="414"/>
      <c r="J2" s="414"/>
      <c r="K2" s="789" t="s">
        <v>428</v>
      </c>
      <c r="L2" s="789"/>
      <c r="M2" s="789"/>
      <c r="N2" s="789"/>
      <c r="O2" s="789"/>
      <c r="P2" s="789"/>
      <c r="Q2" s="789"/>
      <c r="R2" s="789"/>
      <c r="S2" s="789"/>
    </row>
    <row r="3" spans="8:19" ht="13.5" customHeight="1">
      <c r="H3" s="468"/>
      <c r="I3" s="468"/>
      <c r="J3" s="468"/>
      <c r="K3" s="468"/>
      <c r="L3" s="1173" t="s">
        <v>508</v>
      </c>
      <c r="M3" s="1173"/>
      <c r="N3" s="1173"/>
      <c r="O3" s="1173"/>
      <c r="P3" s="1173"/>
      <c r="Q3" s="1173"/>
      <c r="R3" s="1173"/>
      <c r="S3" s="1173"/>
    </row>
    <row r="4" spans="1:19" ht="42.75" customHeight="1">
      <c r="A4" s="1152" t="s">
        <v>462</v>
      </c>
      <c r="B4" s="1152"/>
      <c r="C4" s="1152"/>
      <c r="D4" s="1152"/>
      <c r="E4" s="1152"/>
      <c r="F4" s="1152"/>
      <c r="G4" s="1152"/>
      <c r="H4" s="1152"/>
      <c r="I4" s="1152"/>
      <c r="J4" s="1152"/>
      <c r="K4" s="1152"/>
      <c r="L4" s="1152"/>
      <c r="M4" s="1152"/>
      <c r="N4" s="1152"/>
      <c r="O4" s="1152"/>
      <c r="P4" s="1152"/>
      <c r="Q4" s="1152"/>
      <c r="R4" s="1152"/>
      <c r="S4" s="1152"/>
    </row>
    <row r="5" ht="11.25" customHeight="1">
      <c r="S5" s="12"/>
    </row>
    <row r="6" spans="1:19" s="42" customFormat="1" ht="40.5" customHeight="1">
      <c r="A6" s="788" t="s">
        <v>16</v>
      </c>
      <c r="B6" s="776" t="s">
        <v>15</v>
      </c>
      <c r="C6" s="788" t="s">
        <v>8</v>
      </c>
      <c r="D6" s="788" t="s">
        <v>9</v>
      </c>
      <c r="E6" s="778" t="s">
        <v>406</v>
      </c>
      <c r="F6" s="779"/>
      <c r="G6" s="779"/>
      <c r="H6" s="779"/>
      <c r="I6" s="779"/>
      <c r="J6" s="779"/>
      <c r="K6" s="780"/>
      <c r="L6" s="778" t="s">
        <v>17</v>
      </c>
      <c r="M6" s="779"/>
      <c r="N6" s="779"/>
      <c r="O6" s="779"/>
      <c r="P6" s="779"/>
      <c r="Q6" s="779"/>
      <c r="R6" s="780"/>
      <c r="S6" s="776" t="s">
        <v>14</v>
      </c>
    </row>
    <row r="7" spans="1:19" ht="15.75" customHeight="1">
      <c r="A7" s="788"/>
      <c r="B7" s="777"/>
      <c r="C7" s="788"/>
      <c r="D7" s="788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475</v>
      </c>
      <c r="K7" s="75" t="s">
        <v>476</v>
      </c>
      <c r="L7" s="75" t="s">
        <v>4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777"/>
    </row>
    <row r="8" spans="1:19" ht="10.5" customHeight="1">
      <c r="A8" s="601">
        <v>1</v>
      </c>
      <c r="B8" s="601">
        <v>2</v>
      </c>
      <c r="C8" s="601">
        <v>3</v>
      </c>
      <c r="D8" s="601">
        <v>4</v>
      </c>
      <c r="E8" s="601">
        <v>5</v>
      </c>
      <c r="F8" s="601">
        <v>6</v>
      </c>
      <c r="G8" s="601">
        <v>7</v>
      </c>
      <c r="H8" s="601">
        <v>8</v>
      </c>
      <c r="I8" s="601">
        <v>9</v>
      </c>
      <c r="J8" s="601">
        <v>10</v>
      </c>
      <c r="K8" s="601">
        <v>11</v>
      </c>
      <c r="L8" s="601">
        <v>12</v>
      </c>
      <c r="M8" s="601">
        <v>13</v>
      </c>
      <c r="N8" s="601">
        <v>14</v>
      </c>
      <c r="O8" s="601">
        <v>15</v>
      </c>
      <c r="P8" s="601">
        <v>16</v>
      </c>
      <c r="Q8" s="601">
        <v>17</v>
      </c>
      <c r="R8" s="601">
        <v>18</v>
      </c>
      <c r="S8" s="601">
        <v>19</v>
      </c>
    </row>
    <row r="9" spans="1:19" ht="13.5" customHeight="1">
      <c r="A9" s="605"/>
      <c r="B9" s="939" t="s">
        <v>309</v>
      </c>
      <c r="C9" s="939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</row>
    <row r="10" spans="1:19" ht="16.5" customHeight="1">
      <c r="A10" s="33" t="s">
        <v>72</v>
      </c>
      <c r="B10" s="1174" t="s">
        <v>458</v>
      </c>
      <c r="C10" s="1174"/>
      <c r="D10" s="1175"/>
      <c r="E10" s="1175"/>
      <c r="F10" s="1175"/>
      <c r="G10" s="1175"/>
      <c r="H10" s="1175"/>
      <c r="I10" s="1175"/>
      <c r="J10" s="1175"/>
      <c r="K10" s="1175"/>
      <c r="L10" s="1174"/>
      <c r="M10" s="1174"/>
      <c r="N10" s="1174"/>
      <c r="O10" s="1174"/>
      <c r="P10" s="1174"/>
      <c r="Q10" s="1174"/>
      <c r="R10" s="1174"/>
      <c r="S10" s="1176"/>
    </row>
    <row r="11" spans="1:19" ht="26.25" customHeight="1">
      <c r="A11" s="1147" t="s">
        <v>10</v>
      </c>
      <c r="B11" s="1149" t="s">
        <v>407</v>
      </c>
      <c r="C11" s="1151" t="s">
        <v>480</v>
      </c>
      <c r="D11" s="451" t="s">
        <v>464</v>
      </c>
      <c r="E11" s="448">
        <f>F11+G11+H11+I11</f>
        <v>37887.36</v>
      </c>
      <c r="F11" s="448">
        <f aca="true" t="shared" si="0" ref="F11:K11">F12</f>
        <v>8640.8</v>
      </c>
      <c r="G11" s="448">
        <f t="shared" si="0"/>
        <v>9309.77</v>
      </c>
      <c r="H11" s="448">
        <f t="shared" si="0"/>
        <v>9712.76</v>
      </c>
      <c r="I11" s="448">
        <f t="shared" si="0"/>
        <v>10224.03</v>
      </c>
      <c r="J11" s="448">
        <f t="shared" si="0"/>
        <v>10138.02</v>
      </c>
      <c r="K11" s="448">
        <f t="shared" si="0"/>
        <v>10208.02</v>
      </c>
      <c r="L11" s="452" t="s">
        <v>417</v>
      </c>
      <c r="M11" s="626">
        <v>95</v>
      </c>
      <c r="N11" s="626">
        <v>95</v>
      </c>
      <c r="O11" s="626">
        <v>95</v>
      </c>
      <c r="P11" s="626">
        <v>95</v>
      </c>
      <c r="Q11" s="626">
        <v>95</v>
      </c>
      <c r="R11" s="626">
        <v>95</v>
      </c>
      <c r="S11" s="993" t="s">
        <v>463</v>
      </c>
    </row>
    <row r="12" spans="1:19" ht="16.5" customHeight="1">
      <c r="A12" s="1148"/>
      <c r="B12" s="1150"/>
      <c r="C12" s="1151"/>
      <c r="D12" s="633" t="s">
        <v>5</v>
      </c>
      <c r="E12" s="474">
        <f>F12+G12+H12+I12</f>
        <v>37887.36</v>
      </c>
      <c r="F12" s="458">
        <v>8640.8</v>
      </c>
      <c r="G12" s="449">
        <f>9256.27+101.14-47.64</f>
        <v>9309.77</v>
      </c>
      <c r="H12" s="449">
        <v>9712.76</v>
      </c>
      <c r="I12" s="449">
        <f>10208.02+16.01</f>
        <v>10224.03</v>
      </c>
      <c r="J12" s="449">
        <v>10138.02</v>
      </c>
      <c r="K12" s="449">
        <v>10208.02</v>
      </c>
      <c r="L12" s="452" t="s">
        <v>415</v>
      </c>
      <c r="M12" s="626">
        <v>100</v>
      </c>
      <c r="N12" s="626">
        <v>100</v>
      </c>
      <c r="O12" s="626">
        <v>100</v>
      </c>
      <c r="P12" s="626">
        <v>100</v>
      </c>
      <c r="Q12" s="626">
        <v>100</v>
      </c>
      <c r="R12" s="626">
        <v>100</v>
      </c>
      <c r="S12" s="1132"/>
    </row>
    <row r="13" spans="1:19" ht="24.75" customHeight="1">
      <c r="A13" s="1148"/>
      <c r="B13" s="1150"/>
      <c r="C13" s="1151"/>
      <c r="D13" s="453" t="s">
        <v>6</v>
      </c>
      <c r="E13" s="474">
        <f>F13+G13+H13+I13</f>
        <v>0</v>
      </c>
      <c r="F13" s="458">
        <v>0</v>
      </c>
      <c r="G13" s="449">
        <v>0</v>
      </c>
      <c r="H13" s="449">
        <v>0</v>
      </c>
      <c r="I13" s="458">
        <v>0</v>
      </c>
      <c r="J13" s="458">
        <v>0</v>
      </c>
      <c r="K13" s="458">
        <v>0</v>
      </c>
      <c r="L13" s="456" t="s">
        <v>416</v>
      </c>
      <c r="M13" s="24">
        <v>100</v>
      </c>
      <c r="N13" s="24">
        <v>100</v>
      </c>
      <c r="O13" s="24">
        <v>100</v>
      </c>
      <c r="P13" s="24">
        <v>100</v>
      </c>
      <c r="Q13" s="24">
        <v>100</v>
      </c>
      <c r="R13" s="24">
        <v>100</v>
      </c>
      <c r="S13" s="1132"/>
    </row>
    <row r="14" spans="1:19" ht="25.5" customHeight="1">
      <c r="A14" s="1148"/>
      <c r="B14" s="1150"/>
      <c r="C14" s="1151"/>
      <c r="D14" s="454"/>
      <c r="E14" s="474"/>
      <c r="F14" s="417"/>
      <c r="G14" s="416"/>
      <c r="H14" s="418"/>
      <c r="I14" s="416"/>
      <c r="J14" s="417"/>
      <c r="K14" s="417"/>
      <c r="L14" s="456" t="s">
        <v>413</v>
      </c>
      <c r="M14" s="24">
        <v>95</v>
      </c>
      <c r="N14" s="24">
        <v>100</v>
      </c>
      <c r="O14" s="24">
        <v>100</v>
      </c>
      <c r="P14" s="24">
        <v>100</v>
      </c>
      <c r="Q14" s="24">
        <v>100</v>
      </c>
      <c r="R14" s="24">
        <v>100</v>
      </c>
      <c r="S14" s="1132"/>
    </row>
    <row r="15" spans="1:19" ht="24.75" customHeight="1" hidden="1">
      <c r="A15" s="632"/>
      <c r="B15" s="634"/>
      <c r="C15" s="629"/>
      <c r="D15" s="455"/>
      <c r="E15" s="639"/>
      <c r="F15" s="470"/>
      <c r="G15" s="639"/>
      <c r="H15" s="639"/>
      <c r="I15" s="639"/>
      <c r="J15" s="639"/>
      <c r="K15" s="469"/>
      <c r="M15" s="450"/>
      <c r="N15" s="450"/>
      <c r="O15" s="450"/>
      <c r="P15" s="450"/>
      <c r="Q15" s="450"/>
      <c r="R15" s="450"/>
      <c r="S15" s="1132"/>
    </row>
    <row r="16" spans="1:19" ht="48.75" customHeight="1" hidden="1">
      <c r="A16" s="632"/>
      <c r="B16" s="634"/>
      <c r="C16" s="629"/>
      <c r="D16" s="455"/>
      <c r="E16" s="639"/>
      <c r="F16" s="470"/>
      <c r="G16" s="639"/>
      <c r="H16" s="639"/>
      <c r="I16" s="639"/>
      <c r="J16" s="639"/>
      <c r="K16" s="469"/>
      <c r="M16" s="450"/>
      <c r="N16" s="450"/>
      <c r="O16" s="450"/>
      <c r="P16" s="450"/>
      <c r="Q16" s="450"/>
      <c r="R16" s="450"/>
      <c r="S16" s="1132"/>
    </row>
    <row r="17" spans="1:19" ht="24" customHeight="1" hidden="1">
      <c r="A17" s="632"/>
      <c r="B17" s="634"/>
      <c r="C17" s="629"/>
      <c r="D17" s="455"/>
      <c r="E17" s="639"/>
      <c r="F17" s="470"/>
      <c r="G17" s="639"/>
      <c r="H17" s="639"/>
      <c r="I17" s="639"/>
      <c r="J17" s="639"/>
      <c r="K17" s="470"/>
      <c r="L17" s="457" t="s">
        <v>412</v>
      </c>
      <c r="M17" s="421">
        <v>1</v>
      </c>
      <c r="N17" s="421">
        <v>1</v>
      </c>
      <c r="O17" s="421">
        <v>1</v>
      </c>
      <c r="P17" s="421">
        <v>1</v>
      </c>
      <c r="Q17" s="421">
        <v>1</v>
      </c>
      <c r="R17" s="421">
        <v>1</v>
      </c>
      <c r="S17" s="1132"/>
    </row>
    <row r="18" spans="1:19" ht="28.5" customHeight="1">
      <c r="A18" s="1148"/>
      <c r="B18" s="1150"/>
      <c r="C18" s="1132"/>
      <c r="D18" s="1153"/>
      <c r="E18" s="1154"/>
      <c r="F18" s="1155"/>
      <c r="G18" s="1154"/>
      <c r="H18" s="1154"/>
      <c r="I18" s="1154"/>
      <c r="J18" s="1154"/>
      <c r="K18" s="636"/>
      <c r="L18" s="456" t="s">
        <v>411</v>
      </c>
      <c r="M18" s="24">
        <v>100</v>
      </c>
      <c r="N18" s="24">
        <v>100</v>
      </c>
      <c r="O18" s="24">
        <v>100</v>
      </c>
      <c r="P18" s="24">
        <v>100</v>
      </c>
      <c r="Q18" s="24">
        <v>100</v>
      </c>
      <c r="R18" s="24">
        <v>100</v>
      </c>
      <c r="S18" s="1132"/>
    </row>
    <row r="19" spans="1:19" ht="37.5" customHeight="1">
      <c r="A19" s="1148"/>
      <c r="B19" s="1150"/>
      <c r="C19" s="1132"/>
      <c r="D19" s="1153"/>
      <c r="E19" s="1154"/>
      <c r="F19" s="1155"/>
      <c r="G19" s="1154"/>
      <c r="H19" s="1154"/>
      <c r="I19" s="1154"/>
      <c r="J19" s="1154"/>
      <c r="K19" s="636"/>
      <c r="L19" s="456" t="s">
        <v>410</v>
      </c>
      <c r="M19" s="24">
        <v>100</v>
      </c>
      <c r="N19" s="24">
        <v>100</v>
      </c>
      <c r="O19" s="24">
        <v>100</v>
      </c>
      <c r="P19" s="24">
        <v>100</v>
      </c>
      <c r="Q19" s="24">
        <v>100</v>
      </c>
      <c r="R19" s="24">
        <v>100</v>
      </c>
      <c r="S19" s="1132"/>
    </row>
    <row r="20" spans="1:19" ht="37.5" customHeight="1">
      <c r="A20" s="1148"/>
      <c r="B20" s="1150"/>
      <c r="C20" s="1132"/>
      <c r="D20" s="1153"/>
      <c r="E20" s="1154"/>
      <c r="F20" s="1155"/>
      <c r="G20" s="1154"/>
      <c r="H20" s="1154"/>
      <c r="I20" s="1154"/>
      <c r="J20" s="1154"/>
      <c r="K20" s="636"/>
      <c r="L20" s="457" t="s">
        <v>409</v>
      </c>
      <c r="M20" s="421">
        <v>95</v>
      </c>
      <c r="N20" s="421">
        <v>95</v>
      </c>
      <c r="O20" s="421">
        <v>95</v>
      </c>
      <c r="P20" s="421">
        <v>95</v>
      </c>
      <c r="Q20" s="421">
        <v>95</v>
      </c>
      <c r="R20" s="421">
        <v>95</v>
      </c>
      <c r="S20" s="1132"/>
    </row>
    <row r="21" spans="1:19" ht="24.75" customHeight="1">
      <c r="A21" s="1148"/>
      <c r="B21" s="1150"/>
      <c r="C21" s="1132"/>
      <c r="D21" s="1153"/>
      <c r="E21" s="1154"/>
      <c r="F21" s="1155"/>
      <c r="G21" s="1154"/>
      <c r="H21" s="1154"/>
      <c r="I21" s="1154"/>
      <c r="J21" s="1154"/>
      <c r="K21" s="636"/>
      <c r="L21" s="457" t="s">
        <v>408</v>
      </c>
      <c r="M21" s="421">
        <v>95</v>
      </c>
      <c r="N21" s="421">
        <v>100</v>
      </c>
      <c r="O21" s="421">
        <v>100</v>
      </c>
      <c r="P21" s="421">
        <v>100</v>
      </c>
      <c r="Q21" s="421">
        <v>100</v>
      </c>
      <c r="R21" s="421">
        <v>100</v>
      </c>
      <c r="S21" s="1132"/>
    </row>
    <row r="22" spans="1:19" ht="36" customHeight="1" thickBot="1">
      <c r="A22" s="1148"/>
      <c r="B22" s="1150"/>
      <c r="C22" s="1132"/>
      <c r="D22" s="635"/>
      <c r="E22" s="459"/>
      <c r="F22" s="471"/>
      <c r="G22" s="459"/>
      <c r="H22" s="459"/>
      <c r="I22" s="459"/>
      <c r="J22" s="459"/>
      <c r="K22" s="471"/>
      <c r="L22" s="457" t="s">
        <v>308</v>
      </c>
      <c r="M22" s="342">
        <v>4</v>
      </c>
      <c r="N22" s="342">
        <v>5</v>
      </c>
      <c r="O22" s="342">
        <v>5</v>
      </c>
      <c r="P22" s="342">
        <v>5</v>
      </c>
      <c r="Q22" s="342">
        <v>5</v>
      </c>
      <c r="R22" s="342">
        <v>5</v>
      </c>
      <c r="S22" s="1132"/>
    </row>
    <row r="23" spans="1:19" ht="37.5" customHeight="1" hidden="1" thickBot="1">
      <c r="A23" s="1148"/>
      <c r="B23" s="1150"/>
      <c r="C23" s="1132"/>
      <c r="D23" s="632"/>
      <c r="E23" s="419"/>
      <c r="F23" s="419"/>
      <c r="G23" s="419"/>
      <c r="H23" s="419"/>
      <c r="I23" s="419"/>
      <c r="J23" s="419"/>
      <c r="K23" s="472"/>
      <c r="S23" s="1132"/>
    </row>
    <row r="24" spans="1:19" ht="47.25" customHeight="1" hidden="1">
      <c r="A24" s="1148"/>
      <c r="B24" s="1150"/>
      <c r="C24" s="1132"/>
      <c r="D24" s="344"/>
      <c r="E24" s="343"/>
      <c r="F24" s="343"/>
      <c r="G24" s="343"/>
      <c r="H24" s="343"/>
      <c r="I24" s="343"/>
      <c r="J24" s="343"/>
      <c r="K24" s="473"/>
      <c r="S24" s="1132"/>
    </row>
    <row r="25" spans="1:19" ht="46.5" customHeight="1" hidden="1" thickBot="1">
      <c r="A25" s="1148"/>
      <c r="B25" s="1150"/>
      <c r="C25" s="1132"/>
      <c r="D25" s="344"/>
      <c r="E25" s="343"/>
      <c r="F25" s="343"/>
      <c r="G25" s="343"/>
      <c r="H25" s="343"/>
      <c r="I25" s="343"/>
      <c r="J25" s="343"/>
      <c r="K25" s="473"/>
      <c r="S25" s="1132"/>
    </row>
    <row r="26" spans="1:19" s="341" customFormat="1" ht="13.5" customHeight="1">
      <c r="A26" s="1024"/>
      <c r="B26" s="1162" t="s">
        <v>466</v>
      </c>
      <c r="C26" s="1166"/>
      <c r="D26" s="1156" t="s">
        <v>465</v>
      </c>
      <c r="E26" s="1158">
        <f>SUM(F26:K27)</f>
        <v>58233.40000000001</v>
      </c>
      <c r="F26" s="1158">
        <f aca="true" t="shared" si="1" ref="F26:K26">F34+F35</f>
        <v>8640.8</v>
      </c>
      <c r="G26" s="1158">
        <f t="shared" si="1"/>
        <v>9309.77</v>
      </c>
      <c r="H26" s="1158">
        <f t="shared" si="1"/>
        <v>9712.76</v>
      </c>
      <c r="I26" s="1158">
        <f t="shared" si="1"/>
        <v>10224.03</v>
      </c>
      <c r="J26" s="1158">
        <f t="shared" si="1"/>
        <v>10138.02</v>
      </c>
      <c r="K26" s="1177">
        <f t="shared" si="1"/>
        <v>10208.02</v>
      </c>
      <c r="L26" s="1169"/>
      <c r="M26" s="1169"/>
      <c r="N26" s="1169"/>
      <c r="O26" s="1169"/>
      <c r="P26" s="1169"/>
      <c r="Q26" s="630"/>
      <c r="R26" s="630"/>
      <c r="S26" s="1169"/>
    </row>
    <row r="27" spans="1:19" s="341" customFormat="1" ht="0.75" customHeight="1">
      <c r="A27" s="1025"/>
      <c r="B27" s="1163"/>
      <c r="C27" s="1151"/>
      <c r="D27" s="1157"/>
      <c r="E27" s="1159"/>
      <c r="F27" s="1159"/>
      <c r="G27" s="1159"/>
      <c r="H27" s="1159"/>
      <c r="I27" s="1159"/>
      <c r="J27" s="1159"/>
      <c r="K27" s="1178"/>
      <c r="L27" s="1170"/>
      <c r="M27" s="1170"/>
      <c r="N27" s="1170"/>
      <c r="O27" s="1170"/>
      <c r="P27" s="1170"/>
      <c r="Q27" s="631"/>
      <c r="R27" s="631"/>
      <c r="S27" s="1170"/>
    </row>
    <row r="28" spans="1:19" ht="15.75" customHeight="1" hidden="1">
      <c r="A28" s="1160"/>
      <c r="B28" s="1164"/>
      <c r="C28" s="1167"/>
      <c r="D28" s="576" t="s">
        <v>414</v>
      </c>
      <c r="E28" s="577"/>
      <c r="F28" s="577"/>
      <c r="G28" s="577"/>
      <c r="H28" s="577"/>
      <c r="I28" s="577"/>
      <c r="J28" s="577"/>
      <c r="K28" s="650"/>
      <c r="L28" s="1171"/>
      <c r="M28" s="1171"/>
      <c r="N28" s="1171"/>
      <c r="O28" s="1171"/>
      <c r="P28" s="1171"/>
      <c r="Q28" s="651"/>
      <c r="R28" s="651"/>
      <c r="S28" s="1171"/>
    </row>
    <row r="29" spans="1:19" ht="15.75" customHeight="1" hidden="1">
      <c r="A29" s="1160"/>
      <c r="B29" s="1164"/>
      <c r="C29" s="1167"/>
      <c r="D29" s="576" t="s">
        <v>414</v>
      </c>
      <c r="E29" s="577"/>
      <c r="F29" s="577"/>
      <c r="G29" s="578"/>
      <c r="H29" s="578"/>
      <c r="I29" s="578"/>
      <c r="J29" s="578"/>
      <c r="K29" s="652"/>
      <c r="L29" s="1171"/>
      <c r="M29" s="1171"/>
      <c r="N29" s="1171"/>
      <c r="O29" s="1171"/>
      <c r="P29" s="1171"/>
      <c r="Q29" s="651"/>
      <c r="R29" s="651"/>
      <c r="S29" s="1171"/>
    </row>
    <row r="30" spans="1:19" ht="18" customHeight="1" hidden="1">
      <c r="A30" s="1160"/>
      <c r="B30" s="1164"/>
      <c r="C30" s="1167"/>
      <c r="D30" s="576" t="s">
        <v>414</v>
      </c>
      <c r="E30" s="577"/>
      <c r="F30" s="577"/>
      <c r="G30" s="577"/>
      <c r="H30" s="577"/>
      <c r="I30" s="577"/>
      <c r="J30" s="577"/>
      <c r="K30" s="650"/>
      <c r="L30" s="1171"/>
      <c r="M30" s="1171"/>
      <c r="N30" s="1171"/>
      <c r="O30" s="1171"/>
      <c r="P30" s="1171"/>
      <c r="Q30" s="651"/>
      <c r="R30" s="651"/>
      <c r="S30" s="1171"/>
    </row>
    <row r="31" spans="1:19" ht="27.75" customHeight="1" hidden="1">
      <c r="A31" s="1160"/>
      <c r="B31" s="1164"/>
      <c r="C31" s="1167"/>
      <c r="D31" s="576" t="s">
        <v>414</v>
      </c>
      <c r="E31" s="577"/>
      <c r="F31" s="577"/>
      <c r="G31" s="577"/>
      <c r="H31" s="577"/>
      <c r="I31" s="577"/>
      <c r="J31" s="577"/>
      <c r="K31" s="650"/>
      <c r="L31" s="1171"/>
      <c r="M31" s="1171"/>
      <c r="N31" s="1171"/>
      <c r="O31" s="1171"/>
      <c r="P31" s="1171"/>
      <c r="Q31" s="651"/>
      <c r="R31" s="651"/>
      <c r="S31" s="1171"/>
    </row>
    <row r="32" spans="1:19" ht="18" customHeight="1" hidden="1">
      <c r="A32" s="1160"/>
      <c r="B32" s="1164"/>
      <c r="C32" s="1167"/>
      <c r="D32" s="576" t="s">
        <v>414</v>
      </c>
      <c r="E32" s="577"/>
      <c r="F32" s="577"/>
      <c r="G32" s="577"/>
      <c r="H32" s="577"/>
      <c r="I32" s="577"/>
      <c r="J32" s="577"/>
      <c r="K32" s="650"/>
      <c r="L32" s="1171"/>
      <c r="M32" s="1171"/>
      <c r="N32" s="1171"/>
      <c r="O32" s="1171"/>
      <c r="P32" s="1171"/>
      <c r="Q32" s="651"/>
      <c r="R32" s="651"/>
      <c r="S32" s="1171"/>
    </row>
    <row r="33" spans="1:19" ht="21.75" customHeight="1" hidden="1">
      <c r="A33" s="1160"/>
      <c r="B33" s="1164"/>
      <c r="C33" s="1167"/>
      <c r="D33" s="576" t="s">
        <v>414</v>
      </c>
      <c r="E33" s="577"/>
      <c r="F33" s="577"/>
      <c r="G33" s="577"/>
      <c r="H33" s="577"/>
      <c r="I33" s="577"/>
      <c r="J33" s="577"/>
      <c r="K33" s="650"/>
      <c r="L33" s="1171"/>
      <c r="M33" s="1171"/>
      <c r="N33" s="1171"/>
      <c r="O33" s="1171"/>
      <c r="P33" s="1171"/>
      <c r="Q33" s="651"/>
      <c r="R33" s="651"/>
      <c r="S33" s="1171"/>
    </row>
    <row r="34" spans="1:19" ht="15" customHeight="1">
      <c r="A34" s="1160"/>
      <c r="B34" s="1164"/>
      <c r="C34" s="1167"/>
      <c r="D34" s="497" t="s">
        <v>5</v>
      </c>
      <c r="E34" s="638">
        <f>E26</f>
        <v>58233.40000000001</v>
      </c>
      <c r="F34" s="638">
        <f aca="true" t="shared" si="2" ref="F34:K34">F12</f>
        <v>8640.8</v>
      </c>
      <c r="G34" s="638">
        <f t="shared" si="2"/>
        <v>9309.77</v>
      </c>
      <c r="H34" s="638">
        <f t="shared" si="2"/>
        <v>9712.76</v>
      </c>
      <c r="I34" s="638">
        <f t="shared" si="2"/>
        <v>10224.03</v>
      </c>
      <c r="J34" s="638">
        <f t="shared" si="2"/>
        <v>10138.02</v>
      </c>
      <c r="K34" s="653">
        <f t="shared" si="2"/>
        <v>10208.02</v>
      </c>
      <c r="L34" s="1171"/>
      <c r="M34" s="1171"/>
      <c r="N34" s="1171"/>
      <c r="O34" s="1171"/>
      <c r="P34" s="1171"/>
      <c r="Q34" s="651"/>
      <c r="R34" s="651"/>
      <c r="S34" s="1171"/>
    </row>
    <row r="35" spans="1:19" ht="15" customHeight="1" thickBot="1">
      <c r="A35" s="1161"/>
      <c r="B35" s="1165"/>
      <c r="C35" s="1168"/>
      <c r="D35" s="498" t="s">
        <v>6</v>
      </c>
      <c r="E35" s="579">
        <v>0</v>
      </c>
      <c r="F35" s="579">
        <v>0</v>
      </c>
      <c r="G35" s="579">
        <v>0</v>
      </c>
      <c r="H35" s="579">
        <v>0</v>
      </c>
      <c r="I35" s="579">
        <v>0</v>
      </c>
      <c r="J35" s="579">
        <v>0</v>
      </c>
      <c r="K35" s="654">
        <f>K13</f>
        <v>0</v>
      </c>
      <c r="L35" s="1172"/>
      <c r="M35" s="1172"/>
      <c r="N35" s="1172"/>
      <c r="O35" s="1172"/>
      <c r="P35" s="1172"/>
      <c r="Q35" s="655"/>
      <c r="R35" s="655"/>
      <c r="S35" s="1172"/>
    </row>
  </sheetData>
  <sheetProtection/>
  <mergeCells count="50">
    <mergeCell ref="J26:J27"/>
    <mergeCell ref="M26:M35"/>
    <mergeCell ref="N26:N35"/>
    <mergeCell ref="O26:O35"/>
    <mergeCell ref="J18:J21"/>
    <mergeCell ref="F26:F27"/>
    <mergeCell ref="I18:I21"/>
    <mergeCell ref="L26:L35"/>
    <mergeCell ref="K26:K27"/>
    <mergeCell ref="G26:G27"/>
    <mergeCell ref="S22:S25"/>
    <mergeCell ref="G18:G21"/>
    <mergeCell ref="H18:H21"/>
    <mergeCell ref="S18:S21"/>
    <mergeCell ref="B9:S9"/>
    <mergeCell ref="B10:S10"/>
    <mergeCell ref="H26:H27"/>
    <mergeCell ref="I26:I27"/>
    <mergeCell ref="L1:S1"/>
    <mergeCell ref="K2:S2"/>
    <mergeCell ref="P26:P35"/>
    <mergeCell ref="S26:S35"/>
    <mergeCell ref="L3:S3"/>
    <mergeCell ref="S6:S7"/>
    <mergeCell ref="S11:S17"/>
    <mergeCell ref="E6:K6"/>
    <mergeCell ref="A22:A25"/>
    <mergeCell ref="B22:B25"/>
    <mergeCell ref="C22:C25"/>
    <mergeCell ref="D26:D27"/>
    <mergeCell ref="E26:E27"/>
    <mergeCell ref="A26:A35"/>
    <mergeCell ref="B26:B35"/>
    <mergeCell ref="C26:C35"/>
    <mergeCell ref="A18:A21"/>
    <mergeCell ref="B18:B21"/>
    <mergeCell ref="C18:C21"/>
    <mergeCell ref="D18:D21"/>
    <mergeCell ref="E18:E21"/>
    <mergeCell ref="F18:F21"/>
    <mergeCell ref="A11:A14"/>
    <mergeCell ref="B11:B14"/>
    <mergeCell ref="C11:C14"/>
    <mergeCell ref="A4:S4"/>
    <mergeCell ref="A6:A7"/>
    <mergeCell ref="B6:B7"/>
    <mergeCell ref="C6:C7"/>
    <mergeCell ref="D6:D7"/>
    <mergeCell ref="L6:R6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2018-06-14T13:36:53Z</dcterms:modified>
  <cp:category/>
  <cp:version/>
  <cp:contentType/>
  <cp:contentStatus/>
</cp:coreProperties>
</file>