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5120" windowHeight="8010" firstSheet="1" activeTab="4"/>
  </bookViews>
  <sheets>
    <sheet name="ИТОГО по РО" sheetId="1" state="hidden" r:id="rId1"/>
    <sheet name="модернизация" sheetId="2" r:id="rId2"/>
    <sheet name="Стр.3 молодежь" sheetId="3" state="hidden" r:id="rId3"/>
    <sheet name=" отдых" sheetId="4" r:id="rId4"/>
    <sheet name="ОКСМП" sheetId="5" r:id="rId5"/>
    <sheet name="ЦБО" sheetId="6" r:id="rId6"/>
    <sheet name="Стр.5 профилактика" sheetId="7" state="hidden" r:id="rId7"/>
    <sheet name="Стр.2 модернизация (2)" sheetId="8" state="hidden" r:id="rId8"/>
  </sheets>
  <definedNames>
    <definedName name="OLE_LINK1" localSheetId="3">' отдых'!#REF!</definedName>
    <definedName name="OLE_LINK1" localSheetId="1">'модернизация'!#REF!</definedName>
    <definedName name="OLE_LINK1" localSheetId="7">'Стр.2 модернизация (2)'!#REF!</definedName>
    <definedName name="OLE_LINK1" localSheetId="2">'Стр.3 молодежь'!#REF!</definedName>
    <definedName name="OLE_LINK1" localSheetId="6">'Стр.5 профилактика'!#REF!</definedName>
    <definedName name="OLE_LINK1" localSheetId="5">'ЦБО'!#REF!</definedName>
    <definedName name="_xlnm.Print_Titles" localSheetId="3">' отдых'!$4:$5</definedName>
    <definedName name="_xlnm.Print_Titles" localSheetId="1">'модернизация'!$4:$5</definedName>
    <definedName name="_xlnm.Print_Titles" localSheetId="4">'ОКСМП'!$4:$5</definedName>
    <definedName name="_xlnm.Print_Titles" localSheetId="7">'Стр.2 модернизация (2)'!$4:$5</definedName>
    <definedName name="_xlnm.Print_Titles" localSheetId="2">'Стр.3 молодежь'!$4:$5</definedName>
    <definedName name="_xlnm.Print_Titles" localSheetId="6">'Стр.5 профилактика'!$4:$5</definedName>
    <definedName name="_xlnm.Print_Titles" localSheetId="5">'ЦБО'!$4:$5</definedName>
    <definedName name="_xlnm.Print_Area" localSheetId="0">'ИТОГО по РО'!$A$1:$I$37</definedName>
    <definedName name="_xlnm.Print_Area" localSheetId="1">'модернизация'!$A$1:$Q$171</definedName>
    <definedName name="_xlnm.Print_Area" localSheetId="7">'Стр.2 модернизация (2)'!$A$1:$Q$173</definedName>
  </definedNames>
  <calcPr fullCalcOnLoad="1" refMode="R1C1"/>
</workbook>
</file>

<file path=xl/sharedStrings.xml><?xml version="1.0" encoding="utf-8"?>
<sst xmlns="http://schemas.openxmlformats.org/spreadsheetml/2006/main" count="1589" uniqueCount="398">
  <si>
    <t>Объемы и источники финансирования (тыс. руб.)</t>
  </si>
  <si>
    <t>Всего</t>
  </si>
  <si>
    <t>2014 год</t>
  </si>
  <si>
    <t>2015 год</t>
  </si>
  <si>
    <t>Наименование</t>
  </si>
  <si>
    <t>МБ</t>
  </si>
  <si>
    <t>ОБ</t>
  </si>
  <si>
    <t>В тыс. руб.</t>
  </si>
  <si>
    <t>Срок выполнения</t>
  </si>
  <si>
    <t>Источники финансирования</t>
  </si>
  <si>
    <t>1.1.</t>
  </si>
  <si>
    <t>Всего:</t>
  </si>
  <si>
    <t xml:space="preserve">В т.ч.: </t>
  </si>
  <si>
    <t>Всего по подпрограмме</t>
  </si>
  <si>
    <t>Исполнители, перечень организаций, участвующих в реализации основных мероприятий</t>
  </si>
  <si>
    <t>Цель, задачи, основные мероприятия</t>
  </si>
  <si>
    <t>№  п/п</t>
  </si>
  <si>
    <t>Показатели (индикаторы) результативности выполнения основных мероприятий</t>
  </si>
  <si>
    <t>Цель подпрограммы: Создание условий для успешного развития потенциала и интеграции молодежи в экономическую, культурную и общественно-политическую жизнь ЗАТО Видяево</t>
  </si>
  <si>
    <t>1.1</t>
  </si>
  <si>
    <t>Цель подпрограммы: Организация и обеспечение круглогодичного отдыха, оздоровления и занятости детей и молодежи ЗАТО Видяево, в том числе находящихся в трудной жизненной ситуации</t>
  </si>
  <si>
    <t>Задача 1. Совершенствование и развитие системы отдыха и оздоровления детей муниципального образования ЗАТО Видяево в лагерях с дневным  пребыванием и на площадках временного пребывания детей в каникулярный период</t>
  </si>
  <si>
    <t>1.2</t>
  </si>
  <si>
    <t>Всего по задаче 1</t>
  </si>
  <si>
    <t>2.</t>
  </si>
  <si>
    <t>Задача 2. Обеспечение отдыхом и оздоровлением детей дошкольного возраста на базе дежурного дошкольного учреждения в летний каникулярный период</t>
  </si>
  <si>
    <t>2.1.</t>
  </si>
  <si>
    <t>Реализация программы оздоровительных мероприятий  на базе дежурного детского сада</t>
  </si>
  <si>
    <t>3.</t>
  </si>
  <si>
    <t>Задача 3 . Обеспечение отдыхом и оздоровлением обучающихся ЗАТО Видяево  в возрасте от 6 до 18 лет во всех видах и типах лагерей</t>
  </si>
  <si>
    <t>3.1.</t>
  </si>
  <si>
    <t>3.2</t>
  </si>
  <si>
    <t>Оздоровление детей в санаторно-оздоровительных учреждениях, расположенных за пределами Мурманской области</t>
  </si>
  <si>
    <t>Всего по задаче 3</t>
  </si>
  <si>
    <t>4.</t>
  </si>
  <si>
    <t>Задача  4.  Оказание содействия несовершеннолетним в их трудоустройстве в каникулярное (в том числе летнее) время</t>
  </si>
  <si>
    <t>4.1.</t>
  </si>
  <si>
    <t>Организация временной занятости подростков в летнее и свободное от учебы время</t>
  </si>
  <si>
    <t>5.</t>
  </si>
  <si>
    <t>5.1.</t>
  </si>
  <si>
    <t>Задача 2. Уменьшение  числа нарушений правил дорожного движения и ДТП, произошедших по вине несовершеннолетних</t>
  </si>
  <si>
    <t>2.2</t>
  </si>
  <si>
    <t>2014-2016</t>
  </si>
  <si>
    <t>Всего по задаче 2</t>
  </si>
  <si>
    <t>Цель подпрограммы: повышение доступности качественного образования для всех категорий обучающихся</t>
  </si>
  <si>
    <t>Капитальный (текущий) ремонт зданий ОУ</t>
  </si>
  <si>
    <t>Выявление и поддержка талантливых детей.</t>
  </si>
  <si>
    <t xml:space="preserve">Содействие  повышению профессионального мастерства, распространению  положительного педагогического  опыта.  </t>
  </si>
  <si>
    <t>Всего по задаче 4</t>
  </si>
  <si>
    <t>Всего по задаче 5</t>
  </si>
  <si>
    <t>Доля обучающихся, успешно освоивших  в полном объеме образовательную программу учебного года и переведенных в следующий класс.</t>
  </si>
  <si>
    <t>МБОУ СОШ ЗАТО Видяево</t>
  </si>
  <si>
    <t>Модернизация</t>
  </si>
  <si>
    <t>Молодежь</t>
  </si>
  <si>
    <t>Всего по годам</t>
  </si>
  <si>
    <t>Отдых</t>
  </si>
  <si>
    <t>Профилактика безнадзорности</t>
  </si>
  <si>
    <t>2016 год</t>
  </si>
  <si>
    <t>Предоставление услуг (работ) в сфере дошкольного образования</t>
  </si>
  <si>
    <t>Предоставление услуг (работ) в сфере общего образования</t>
  </si>
  <si>
    <t>Предоставление услуг (работ) в сфере дополнительного образования</t>
  </si>
  <si>
    <t>Субвенции бюджетам муниципальных образований на реализацию Закона Мурманской области "О мерах социальной поддержки инвалидов" в части финансирования расходов по обеспечению воспитания и обучения детей-инвалидов на дому и в дошкольных учреждениях</t>
  </si>
  <si>
    <t>Субвенции бюджетам муниципальных образований на реализацию Закона Мурманской области "О региональных нормативах финансирования системы образования Мурманской области"</t>
  </si>
  <si>
    <t xml:space="preserve">МБУ УМС (СЗ) ЗАТО Видяево
</t>
  </si>
  <si>
    <t>4.2.</t>
  </si>
  <si>
    <t>Компенсация родительской платы за присмотр и уход за детьми, посещающими образовательные организации реализующие общеобразовательные программы дошкольного образования</t>
  </si>
  <si>
    <t>Расходы связанные с выплатой родительской платы за присмотр и уход за детьми, посещающими образовательные организации реализующие общеобразовательные программы дошкольного образования</t>
  </si>
  <si>
    <t>Реализация мер социальной поддержки отдельных категорий граждан,работающих в муниципальных учреждениях образования и культуры, расположенных в сельских населенных пунктах или поселках городского типа Мурманской области</t>
  </si>
  <si>
    <t>Укрепление материально-технической базы школьных столовых, их техническое оснащение оборудованием и инвентарем</t>
  </si>
  <si>
    <t>Обеспечение санитарно-эпидемиологического благополучия</t>
  </si>
  <si>
    <t>Обеспечение  горячим бесплатным  питанием отдельных категорий обучающихся</t>
  </si>
  <si>
    <t>Обеспечение бесплатным цельным молоком, либо питьевым молоком обучающихся 1-4 классов (общеобразовательных учреждений, муниципальных образовательных учреждений для детей дошкольного и младшего школьного возраста</t>
  </si>
  <si>
    <t>1.</t>
  </si>
  <si>
    <t>Задача 1. Создание условий для развития гражданских инициатив</t>
  </si>
  <si>
    <t>МБУК  ОУБ ЗАТО Видяево</t>
  </si>
  <si>
    <t xml:space="preserve">В т.ч. МБ: </t>
  </si>
  <si>
    <t>Задача 2.  Работа направленная на увеличение доли молодых людей, участвующих в мероприятиях, направленных на воспитание гражданственности и патриотизма</t>
  </si>
  <si>
    <t>Задача 3.  Развитие творческого и интеллектуального потенциала  детей и молодежи</t>
  </si>
  <si>
    <t>Задача 4.  Содействие развитию социальной активности и компетенции молодых людей</t>
  </si>
  <si>
    <t>Задача 1. Реализация мер по проведению капитального  (текущего) ремонтов социальной, инженерной и жилищно-коммунальныой инфраструктуры</t>
  </si>
  <si>
    <t>Задача 2. Реализация мероприятий по выявлению и поддержки талантливых детей</t>
  </si>
  <si>
    <t xml:space="preserve">Задача 3.Реализация мероприятий по повышению профессионального мастерства и педагогического  опыта.  </t>
  </si>
  <si>
    <t>4.1.1.</t>
  </si>
  <si>
    <t>Мероприятия по комплексу мер модернизации дошкольного образования</t>
  </si>
  <si>
    <t>Приобретение современного оборудования</t>
  </si>
  <si>
    <t>4.1.2.</t>
  </si>
  <si>
    <t>Повышение квалификации педагогического персонала</t>
  </si>
  <si>
    <t>4.2.1.</t>
  </si>
  <si>
    <t>4.2.2.</t>
  </si>
  <si>
    <t>Мероприятия по комплексу мер модернизации общего образования</t>
  </si>
  <si>
    <t>4.3.</t>
  </si>
  <si>
    <t>4.3.1.</t>
  </si>
  <si>
    <t>Мероприятия по комплексу мер модернизации дополнительного образования</t>
  </si>
  <si>
    <t>Задача 5. Развитие системы образования через качественное выполнение муниципальных услуг</t>
  </si>
  <si>
    <t>5.1.1.</t>
  </si>
  <si>
    <t>5.1.2.</t>
  </si>
  <si>
    <t>5.2.1.</t>
  </si>
  <si>
    <t>5.2.2.</t>
  </si>
  <si>
    <t>5.3.1.</t>
  </si>
  <si>
    <t>МБДОУ№1 ЗАТО Видяево, МБДОУ№2 ЗАТО Видяево</t>
  </si>
  <si>
    <t>Предоставление субсидий на услуги дошкольного образования</t>
  </si>
  <si>
    <t>5.1.2.1.</t>
  </si>
  <si>
    <t>5.1.2.2.</t>
  </si>
  <si>
    <t>Реализация мер социальной поддержки отдельных категорий граждан,работающих в муниципальных учреждениях образования и культуры, расположенных в сельских населенных пунктах или поселках городского типа Мурманской области (прочий персонал)</t>
  </si>
  <si>
    <t>5.1.2.3.</t>
  </si>
  <si>
    <t>5.1.2.4.</t>
  </si>
  <si>
    <t>5.1.2.5.</t>
  </si>
  <si>
    <t>5.2.</t>
  </si>
  <si>
    <t>Предоставление субсидий на услуги общего образования</t>
  </si>
  <si>
    <t>Расходы на оказание услуг дошкольного образования</t>
  </si>
  <si>
    <t>Расходы на оказание услуг общего образования</t>
  </si>
  <si>
    <t>5.2.2.2.</t>
  </si>
  <si>
    <t>5.2.2.1.</t>
  </si>
  <si>
    <t>5.3.</t>
  </si>
  <si>
    <t>Расходы на услуги  дополнительного образования</t>
  </si>
  <si>
    <t>5.3.2.</t>
  </si>
  <si>
    <t>6.</t>
  </si>
  <si>
    <t>Задача 6. Совершенствования организации питания школьников</t>
  </si>
  <si>
    <t>6.1.</t>
  </si>
  <si>
    <t>6.2.</t>
  </si>
  <si>
    <t>6.3.</t>
  </si>
  <si>
    <t>6.3.1.</t>
  </si>
  <si>
    <t>6.3.2.</t>
  </si>
  <si>
    <t>6.3.3.</t>
  </si>
  <si>
    <t>Всего по задаче 6</t>
  </si>
  <si>
    <t>Организация отдыха детей Мурманской области в оздоровительных лагерях с дневным пребыванием, организованных на базе муниципальных учреждений</t>
  </si>
  <si>
    <t>Организация  лагерей с дневным временным пребыванием  детей на территории  ЗАТО Видяево</t>
  </si>
  <si>
    <t xml:space="preserve">МБОУ СОШ  ЗАТО Видяево </t>
  </si>
  <si>
    <t>Оздоровление детей в санаторно-оздоровительных учреждениях, расположенных на территории Мурманской области (Бесплатные путевки Министерства образования и науки Мурманской области)</t>
  </si>
  <si>
    <t>МБДОУ№1 ЗАТО Видяево</t>
  </si>
  <si>
    <t>МБДОУ№2 ЗАТО Видяево</t>
  </si>
  <si>
    <t xml:space="preserve">МБДОУ№2 ЗАТО Видяево
</t>
  </si>
  <si>
    <t xml:space="preserve">МБДОУ№1 ЗАТО Видяево
</t>
  </si>
  <si>
    <t>Мероприятия по организации питания школьников</t>
  </si>
  <si>
    <t>РО всего</t>
  </si>
  <si>
    <t>МКУ «Центр   МИТО» ЗАТО Видяево</t>
  </si>
  <si>
    <t xml:space="preserve">МКУ «Центр МИТО» ЗАТО Видяево
</t>
  </si>
  <si>
    <t>МБОО ДОД «Олимп» ЗАТО Видяево</t>
  </si>
  <si>
    <t>4.1.3.</t>
  </si>
  <si>
    <t>Приобретение основных средств</t>
  </si>
  <si>
    <t>4.2.3.</t>
  </si>
  <si>
    <t>4.3.2.</t>
  </si>
  <si>
    <t>МБОО ДОД «Олимп»</t>
  </si>
  <si>
    <t>3.3</t>
  </si>
  <si>
    <t>МБОО ДОД "Олимп" ЗАТО Видяево</t>
  </si>
  <si>
    <t>Оплата поощрительной путевки на оздоровление и отдых, участнику Всероссийского конкурса детского и юношеского литературно-художественного творчества</t>
  </si>
  <si>
    <t>МБУ УМС (СЗ) ЗАТО Видяево</t>
  </si>
  <si>
    <t xml:space="preserve">Задача 4. Реализация мероприятий по модернизации образования </t>
  </si>
  <si>
    <t>3.4.</t>
  </si>
  <si>
    <t>Оплата проезда ребенку - инвалиду которому, противопоказан организованный отдых на основании индивидуальной путевки по провилю санаторно-курортного лечения</t>
  </si>
  <si>
    <t>Всего по программе Развитие образования на 2014-2016 (Без ВЦП)</t>
  </si>
  <si>
    <t>ВЦП ОТДЕЛ ОКСМП</t>
  </si>
  <si>
    <t>ВЦП МИТО</t>
  </si>
  <si>
    <t>Совершенствование профессионально-кадрового состава работников, задействованных в системе школьного питания</t>
  </si>
  <si>
    <t>ВЦП ЦБО</t>
  </si>
  <si>
    <t>2017 год</t>
  </si>
  <si>
    <t>2018 год</t>
  </si>
  <si>
    <t xml:space="preserve">ПЕРЕЧЕНЬ ОСНОВНЫХ МЕРОПРИЯТИЙ ПОДПРОГРАММЫ 
«Модернизация образования ЗАТО  Видяево» </t>
  </si>
  <si>
    <t xml:space="preserve">ПЕРЕЧЕНЬ ОСНОВНЫХ МЕРОПРИЯТИЙ ПОДПРОГРАММЫ 
«Молодежь  ЗАТО  Видяево»
</t>
  </si>
  <si>
    <t xml:space="preserve">ПЕРЕЧЕНЬ ОСНОВНЫХ МЕРОПРИЯТИЙ ПОДПРОГРАММЫ 
«Отдых, оздоровление и занятость детей и молодежи ЗАТО  Видяево»
</t>
  </si>
  <si>
    <t xml:space="preserve">МБДОУ№1 ЗАТО Видяево,МБДОУ№2 ЗАТО Видяево </t>
  </si>
  <si>
    <t>2014 - 2018</t>
  </si>
  <si>
    <t>2014-2018</t>
  </si>
  <si>
    <t>Исполнители, перечень организаций, участвующих               в реализации основных мероприятий</t>
  </si>
  <si>
    <t>Срок выполне-ния</t>
  </si>
  <si>
    <t>Источни-ки финансирования</t>
  </si>
  <si>
    <t xml:space="preserve">                                           Всего по задаче 1</t>
  </si>
  <si>
    <t>Всего,        в т.ч          МБ</t>
  </si>
  <si>
    <t>Организация и проведение профилактических мероприятий  ( межведомственных операций, акций, обучающих семинаров-тренингов и т.д.)</t>
  </si>
  <si>
    <t>1.1.1</t>
  </si>
  <si>
    <t>Оказание социальной и материальной помощи несовершеннолетним и семьям группы "риска", оказавшимся    в трудной  жизненной ситуации, социально-опасном положении</t>
  </si>
  <si>
    <t xml:space="preserve">       МБОО ДОД «Олимп»     ЗАТО Видяево</t>
  </si>
  <si>
    <t xml:space="preserve">        МБОО ДОД "Олимп"         ЗАТО Видяево</t>
  </si>
  <si>
    <t>Увеличение количества профилактических мероприятий (ед.)</t>
  </si>
  <si>
    <t>Увеличение количества участников, вовлеченных    в мероприятия (чел.)</t>
  </si>
  <si>
    <t xml:space="preserve">     2014-   2018</t>
  </si>
  <si>
    <t xml:space="preserve">      2014 -    2018</t>
  </si>
  <si>
    <t xml:space="preserve">   2014  - 2018</t>
  </si>
  <si>
    <t xml:space="preserve">     2014-     2018</t>
  </si>
  <si>
    <t>Всего        в т.ч          МБ</t>
  </si>
  <si>
    <t xml:space="preserve">Всего,        в т.ч         МБ          </t>
  </si>
  <si>
    <t xml:space="preserve">Всего,          в т.ч          МБ                             </t>
  </si>
  <si>
    <t xml:space="preserve">        МКУ "Центр МИТО"     ЗАТО Видяево</t>
  </si>
  <si>
    <t>Увеличение количества мероприятий по профилактике ДДТТ (ед.)</t>
  </si>
  <si>
    <t>Организация профилактических мероприятий, направленных на профилактику детского дорожно- транспортного  травматизма (ДДДТ)</t>
  </si>
  <si>
    <t>Увеличение количества реализованных проектов (программ) по профилактике ДДТТ (ед.)</t>
  </si>
  <si>
    <t>Увеличение количества мероприятий по правовому просвещению (ед.)</t>
  </si>
  <si>
    <t>Увеличение количества активных участников, вовлеченных                          в мероприятия (чел.)</t>
  </si>
  <si>
    <t>Обеспечение деятельности отряда Юных правозащитников (отряд ЮП)</t>
  </si>
  <si>
    <t>Всего,        в т.ч.          МБ</t>
  </si>
  <si>
    <t>1.2.</t>
  </si>
  <si>
    <t xml:space="preserve">     2015-      2018</t>
  </si>
  <si>
    <t>Задача 1. Реализация комплекса мер ( в том числе правового просвещения), направленных на профилактику безнадзорности, правонарушений несовершеннолетних и в отношении несовершеннолетних, предупреждение жестокого обращения с детьми и подростками.                                                                                                                                                                                                                                                                                 Задача 1.1.  Воспиитание у детей и подростков безопасного поведения в быту и общественном месте</t>
  </si>
  <si>
    <t>Количество несовершеннолетних, их семей, получивших социальную и материальную поддержку  (чел.)</t>
  </si>
  <si>
    <t>Обеспечение  деятельности отряда    Юных Инспекторов Дорожного Движения (ЮИДД)</t>
  </si>
  <si>
    <t>Цель подпрограммы: повышение эффективности деятельности органов местного самоуправления  и муниципальных образовательных учреждений  по профилактике безнадзорности, правонарушений  несовершеннолетних, детского травматизма,   предупреждению жестокого обращения с детьми</t>
  </si>
  <si>
    <t xml:space="preserve">                                       Всего по подпрограмме</t>
  </si>
  <si>
    <t xml:space="preserve">                                       Всего по задаче 2</t>
  </si>
  <si>
    <t>Мероприятия, направленные                   на развитие гражданских инициатив</t>
  </si>
  <si>
    <t>Мероприятия, направленные                               на развитие творческого и интеллектуального потенциала  детей и молодежи</t>
  </si>
  <si>
    <t>Мероприятия, направленные    на увеличение доли молодых людей, участвующих в мероприятиях, направленных на воспитание гражданственности и патриотизма</t>
  </si>
  <si>
    <t>Мероприятия, направленные                на  развитие социальной активности и компетенции молодых людей</t>
  </si>
  <si>
    <t xml:space="preserve">ПЕРЕЧЕНЬ ОСНОВНЫХ МЕРОПРИЯТИЙ ПОДПРОГРАММЫ 
«Профилактика безнадзорности,правонарушений несовершеннолетних и детского травматизма в ЗАТО  Видяево»
</t>
  </si>
  <si>
    <t>Всего по МП Развитие образования на 2014-2018 годы</t>
  </si>
  <si>
    <t>Софинансирование из бюджета ЗАТО Видяево</t>
  </si>
  <si>
    <t>МБДОУ№1 ЗАТО Видяево, МБДОУ№2 ЗАТО Видяево, МБУ "ЦБО" ЗАТО Видяево</t>
  </si>
  <si>
    <t>МБДОУ№1 ЗАТО Видяево, МБДОУ  №2 ЗАТО Видяево</t>
  </si>
  <si>
    <t xml:space="preserve">Всего:       В т.ч.: </t>
  </si>
  <si>
    <t>1301,9</t>
  </si>
  <si>
    <t>821,9</t>
  </si>
  <si>
    <t>300,0</t>
  </si>
  <si>
    <t>60,0</t>
  </si>
  <si>
    <t xml:space="preserve"> МБ</t>
  </si>
  <si>
    <t>0</t>
  </si>
  <si>
    <t xml:space="preserve">                       МБ</t>
  </si>
  <si>
    <t xml:space="preserve">Всего:          В т.ч.: </t>
  </si>
  <si>
    <t>Всего:     в т.ч.</t>
  </si>
  <si>
    <t xml:space="preserve">                        МБ</t>
  </si>
  <si>
    <t xml:space="preserve">                 МБ</t>
  </si>
  <si>
    <t xml:space="preserve">Всего:         В т.ч.: </t>
  </si>
  <si>
    <t>Всего:     В т.ч.</t>
  </si>
  <si>
    <t xml:space="preserve">Всего:        В т.ч. </t>
  </si>
  <si>
    <t>Всего:      В т.ч.</t>
  </si>
  <si>
    <t>Всего:   В т.ч.</t>
  </si>
  <si>
    <t xml:space="preserve">Всего:    В т.ч. </t>
  </si>
  <si>
    <t>МБДОУ № 2 ЗАТО  Видяево</t>
  </si>
  <si>
    <t xml:space="preserve">МБДОУ № 1 ЗАТО  Видяево </t>
  </si>
  <si>
    <t>Всего:         В т.ч. :</t>
  </si>
  <si>
    <t>Всего:       В т.ч.:</t>
  </si>
  <si>
    <t>Доля молодых людей, принявших участие                     в мероприятиях, от планового показателя, %</t>
  </si>
  <si>
    <t>Доля молодых людей, принявших участие                    в мероприятиях, от планового показателя, %</t>
  </si>
  <si>
    <t>Доля молодых людей, принявших участие                   в мероприятиях, от планового показателя, %</t>
  </si>
  <si>
    <t>Доля охвата детей оздоровлением в лагерях с дневным пребыванием, %</t>
  </si>
  <si>
    <t>Доля охвата детей в ТЖС (тяжелой жизненной ситуации), %</t>
  </si>
  <si>
    <t>Проводимые мероприятия, %</t>
  </si>
  <si>
    <t>Выполнение оздоровительной программы, %</t>
  </si>
  <si>
    <t>100</t>
  </si>
  <si>
    <t>Количество оздоровленных детей, кол-во</t>
  </si>
  <si>
    <t xml:space="preserve">Доля оздоровленных детей в ТЖС, % </t>
  </si>
  <si>
    <t>Выполнение программы оздоровления, %</t>
  </si>
  <si>
    <t>20</t>
  </si>
  <si>
    <t>Доля оздоровленных детей, %</t>
  </si>
  <si>
    <t>17</t>
  </si>
  <si>
    <t>70</t>
  </si>
  <si>
    <t>Доля отдохнувших детей, %</t>
  </si>
  <si>
    <t>Отсутствие случаев травматизма, %</t>
  </si>
  <si>
    <t>Количество несовершеннолетних детей временно трудоустроенных, чел.</t>
  </si>
  <si>
    <t xml:space="preserve">Отсутствие случаев травматизма, % </t>
  </si>
  <si>
    <t xml:space="preserve">Принятые по акту плановые ремонтные работы, % </t>
  </si>
  <si>
    <t>Всего:    В т.ч.:</t>
  </si>
  <si>
    <t xml:space="preserve">Доля победителей и призеров от числа участников конкурсов муниципального областного, регионального и всероссийского  уровней, %
</t>
  </si>
  <si>
    <t>1040,0</t>
  </si>
  <si>
    <t>240,0</t>
  </si>
  <si>
    <t>200,0</t>
  </si>
  <si>
    <t>210</t>
  </si>
  <si>
    <t>35</t>
  </si>
  <si>
    <t xml:space="preserve">Доля педагогов, представивших и обобщивших  опыт на разных уровнях от числа планируемых, %
</t>
  </si>
  <si>
    <t>Доля участников конкурсов
профессионального мастерства от числа планируемых, %</t>
  </si>
  <si>
    <t xml:space="preserve">Достижение намеченных показателей по комплексу утвержденных мероприятий, % </t>
  </si>
  <si>
    <t>Всего:         В т.ч:</t>
  </si>
  <si>
    <t>2014- 2018</t>
  </si>
  <si>
    <t xml:space="preserve">Достижение намеченных показателей по комплексу утвержденных мероприятий,% </t>
  </si>
  <si>
    <t>Доля детей в возрасте от 3 – 7 лет от общего числа детей такого возраста, получающих дошкольное образование в детских садах ЗАТО Видяево,%</t>
  </si>
  <si>
    <t>Расходование средств, %</t>
  </si>
  <si>
    <t>Выплаты средств по мерам социальной поддержки, %</t>
  </si>
  <si>
    <t>Всего:      В т.ч.:</t>
  </si>
  <si>
    <t>95</t>
  </si>
  <si>
    <t>Выполнение обязательств по финансированию, %</t>
  </si>
  <si>
    <t>Доля детей в возрасте 5-18 лет от общего числа детей такого возраста в ЗАТО Видяево, охваченная услугами дополнительного образования, %</t>
  </si>
  <si>
    <t>72</t>
  </si>
  <si>
    <t>73</t>
  </si>
  <si>
    <t>5.2.2.3.</t>
  </si>
  <si>
    <t>2014-   2018</t>
  </si>
  <si>
    <t>Выполнение обеспечения молоком, %</t>
  </si>
  <si>
    <t>Доля учащихся получающих горячее питание и молоко, %</t>
  </si>
  <si>
    <t>90</t>
  </si>
  <si>
    <t>77</t>
  </si>
  <si>
    <t>81</t>
  </si>
  <si>
    <t>83</t>
  </si>
  <si>
    <t>Оснащенность современным оборудованием и инвентарем школьной столовой, %</t>
  </si>
  <si>
    <t>65</t>
  </si>
  <si>
    <t>Доля квалифицированных поваров (5-6 разряда), %</t>
  </si>
  <si>
    <t>75</t>
  </si>
  <si>
    <t>85</t>
  </si>
  <si>
    <t>Обеспеченность моющими и дезинфицирующими средствами школьных столовых, %</t>
  </si>
  <si>
    <t>Обеспеченнность персонала столовой спецодеждой, %</t>
  </si>
  <si>
    <t>Субсидия на обеспечение бесплатным цельным молоком, либо питьевым молоком обучающихся 1-4 классов (общеобразовательных учреждений, муниципальных образовательных учреждений для детей дошкольного и младшего школьного возраста</t>
  </si>
  <si>
    <t>6.1.1.</t>
  </si>
  <si>
    <t>6.1.2.</t>
  </si>
  <si>
    <t xml:space="preserve">Приложение № 1
к Подпрограмме «Профилактика безнадзорности,правонарушений несовершеннолетних и детского травматизма ЗАТО  Видяево»  на  2014-2016  годы (в редакции от 31.12.2013 № 813, от 12.03.2014 № 112, от 11.04.2014 № 169, от 21.05.2014 № 254,   от 28.05.2014 № 265, от 05.09.2014 № 406, от 05.11.2014 № 502, от 02.12.2014 № 573,  от 15.12.2014 № 601, от 30.12.2014№653 )
</t>
  </si>
  <si>
    <t xml:space="preserve">Приложение № 1
к Подпрограмме «Молодежь  ЗАТО  Видяево» на  2014-2016  годы (в редакции от 31.12.2013 № 813, от 12.03.2014 № 112,  от 11.04.2014 № 169, от 21.05.2014 № 254, от 28.05.2014 № 265, от 05,09,2014 № 406, от 05.11.2014 № 502, от 02.12.2014 № 573, от 15.12.2014 № 601, от 30.12.2014№653, от 26.06.2015 №322 )
</t>
  </si>
  <si>
    <t>Субсидии  на проведение мероприятий по формированию сети базовых образовательных организаций, в которых созданы условия для инклюзивного образования детей-инвалидов</t>
  </si>
  <si>
    <t>Субсидии бюджетам субъектов Российской Федерации и муниципальных образований на мероприятия государственной программы Российской Федерации «Доступная среда» на 2011-2015 годы в рамках подпрограммы «Обеспечение доступности приоритетных объектов и услуг в приоритетных сферах жизнедеятельности инвалидов и других малоимущих групп населения» государственной программы Российской Федерации «Доступная среда» на 2011-2015 годы.</t>
  </si>
  <si>
    <t>Выполнение плановых мероприятий по формированию сети базовых образовательных организаций, в которых созданы условия для инклюзивного образования детей-инвалидов, %</t>
  </si>
  <si>
    <t>4.2.4.</t>
  </si>
  <si>
    <t>4.2.4.1.</t>
  </si>
  <si>
    <t>4.2.4.2.</t>
  </si>
  <si>
    <t xml:space="preserve">Приложению №1 к Изменениям в муниципальную программу «Развитие образования»
</t>
  </si>
  <si>
    <t>(в редакции от 31.12.2013 №813, от 12.03.2014 №112, от 11.04.2014 №169, от 21.05.2014 №254, от 28.05.2014 №265, от 05,09,2014 №406, от 05.11.2014 №502, от 02.12.2014 №573,  от 15.12.2014 №601, от 30.12.2014№653, от 26.06.2015 №322, от 27.07.2015 № 355, от__.10.2015 №__ )</t>
  </si>
  <si>
    <t xml:space="preserve">Приложение № 1
к изменениям  в муниципальную программу "Развитие образования"
</t>
  </si>
  <si>
    <t xml:space="preserve">Приложение № 2
к изменениям  в муниципальную программу "Развитие образования"
</t>
  </si>
  <si>
    <t xml:space="preserve">ПЕРЕЧЕНЬ
ОСНОВНЫХ МЕРОПРИЯТИЙ ВЕДОМСТВЕННОЙ ЦЕЛЕВОЙ ПРОГРАММЫ 
«Обеспечение деятельности МКУ "Отдел ОКСМП администрации ЗАТО Видяево»
</t>
  </si>
  <si>
    <t>Показатели (индикаторы) результативности                                выполнения основных мероприятий</t>
  </si>
  <si>
    <r>
      <t xml:space="preserve">Цель ВЦП: </t>
    </r>
    <r>
      <rPr>
        <b/>
        <sz val="8"/>
        <color indexed="8"/>
        <rFont val="Times New Roman"/>
        <family val="1"/>
      </rPr>
      <t>Развитие   систем образования, культуры  и  спорта  в ЗАТО Видяево  через  эффективное  выполнение  муниципальных  функций  органов местного самоуправления</t>
    </r>
  </si>
  <si>
    <t>Задача 1 Эффективное управление развитием систем образования, культуры, спорта и молодежной политики в ЗАТО Видяево</t>
  </si>
  <si>
    <t xml:space="preserve"> Управление развитием систем образования, культуры,  спорта и молодежной политики  в ЗАТО Видяево</t>
  </si>
  <si>
    <t>1.1.Достижение установленных качественных показателей при реализации задач программы (%)</t>
  </si>
  <si>
    <t>МКУ «Отдел ОКСМП администрации ЗАТО Видяево», начальник отдела</t>
  </si>
  <si>
    <t>1.2.Оценка  выполнения функций и полномочий Отдела (количество жалоб, предложений надзорных органов)</t>
  </si>
  <si>
    <t>Итого по задаче 1</t>
  </si>
  <si>
    <t>Всего: в т.ч.: МБ</t>
  </si>
  <si>
    <t>Задача 2 Организация начального общего, основного общего и среднего (полного) общего образования</t>
  </si>
  <si>
    <t>Организация начального общего, основного общего и среднего (полного) общего образования</t>
  </si>
  <si>
    <t>2.1.Доля  детей в возрасте от 7 до 18 лет, обучающихся  по программам общего образования, от числа детей, подлежащих обязательному   обучению по программам начального, основного и среднего (полного) общего образования (%)</t>
  </si>
  <si>
    <t xml:space="preserve">МКУ «Отдел ОКСМП администрации ЗАТО Видяево», главный специалист </t>
  </si>
  <si>
    <t>2.2.Доля выпускников, получивших аттестат соответствующего образца (%)</t>
  </si>
  <si>
    <t>2.3.Внедрение  механизмов эффективного контракта с руководителем (да/нет)</t>
  </si>
  <si>
    <t>да</t>
  </si>
  <si>
    <t xml:space="preserve">Итого по задаче 2    </t>
  </si>
  <si>
    <t xml:space="preserve">Задача 3: Организация общедоступного бесплатного дошкольного  образования      </t>
  </si>
  <si>
    <t xml:space="preserve">Организация общедоступного бесплатного дошкольного  образования      </t>
  </si>
  <si>
    <t>3.1.Доля детей в возрасте  от 3 до 7 лет, получающих услуги дошкольного образования (%)</t>
  </si>
  <si>
    <t>МКУ «Отдел ОКСМП администрации ЗАТО Видяево», ведущий специалист</t>
  </si>
  <si>
    <t>3.2.Обновление  основных образовательных программ дошкольного образования с учетом требований стандартов дошкольного образования (%)</t>
  </si>
  <si>
    <t>3.3.Внедрение  механизмов эффективного контракта с руководителем (да/нет)</t>
  </si>
  <si>
    <t>Итого по задаче 3</t>
  </si>
  <si>
    <t>Задача 4: Организация  воспитания и дополнительного образования детей</t>
  </si>
  <si>
    <t>Организация  общедоступного дополнительного образования детей</t>
  </si>
  <si>
    <t>4.1.Доля детей в возрасте от 5 до 18 лет, обучающихся по программам дополнительного образования (%)</t>
  </si>
  <si>
    <t>4.2.Доля детей, состоящих на профилактическом учете в подразделениях по делам несовершеннолетних, органах внутренних дел, занятых в объединениях дополнительного образования (%)</t>
  </si>
  <si>
    <t>4.3.Внедрение  механизмов эффективного контракта  с руководителем (да/нет)</t>
  </si>
  <si>
    <t>Итого по задаче 4</t>
  </si>
  <si>
    <t xml:space="preserve">Задача 5: Обеспечение эффективной  воспитательно-профилактической  деятельности на территории ЗАТО Видяево </t>
  </si>
  <si>
    <t xml:space="preserve">Обеспечение эффективной  воспитательно-профилактической  деятельности на территории ЗАТО Видяево </t>
  </si>
  <si>
    <t>5.1.Применение программно-целевого подхода при  осуществлении   воспитательно-профилактической  деятельности (да/нет)</t>
  </si>
  <si>
    <t>5.2.Динамика показателя количества детей, состоящих  на  учете в КДН и ОВД  (чел.)</t>
  </si>
  <si>
    <t>5.3.Динамика  показателя количества  детей,   употребляющих  ПАВ (чел.)</t>
  </si>
  <si>
    <t>Итого по задаче 5</t>
  </si>
  <si>
    <t>Задача 6: Достижение показателей эффективности организации отдыха и оздоровления детей ЗАТО Видяево</t>
  </si>
  <si>
    <t>Достижение показателей эффективности организация отдыха и оздоровления детей ЗАТО Видяево</t>
  </si>
  <si>
    <t>6.1.Доля детей в возрасте от 7 до 18 лет, охвачена организованным круглогодичным отдыхом (%)</t>
  </si>
  <si>
    <t>6.2.Доля детей в возрасте от 7 до 18 лет, охвачена организованным летним отдыхом (%)</t>
  </si>
  <si>
    <t>6.3.Доля детей, состоящих на учете в КДН и ОВД, охваченных организованным летним отдыхом (%)</t>
  </si>
  <si>
    <t>Итого по задаче 6</t>
  </si>
  <si>
    <t>Задача 7: Реализация  направлений  государственной молодежной политики  в ЗАТО Видяево</t>
  </si>
  <si>
    <t>7.1.</t>
  </si>
  <si>
    <t>Реализация  направлений  государственной молодежной политики  в ЗАТО Видяево</t>
  </si>
  <si>
    <t>7.1.Доля детей и молодежи в возрасте от 14 до 23 лет, охваченных  деятельностью  по социальному проектированию (%)</t>
  </si>
  <si>
    <t>МКУ «Отдел ОКСМП администрации ЗАТО Видяево», ведущий специалист  по культуре, молодежной политике</t>
  </si>
  <si>
    <t xml:space="preserve">7.2.Доля детей и молодежи в возрасте от 14 до 23 лет, охваченных  профилактической волонтерской деятельностью  (%) </t>
  </si>
  <si>
    <t>Итого по задаче 7</t>
  </si>
  <si>
    <t>Задача 8: Обеспечение всех направлений культурного развития ЗАТО Видяево</t>
  </si>
  <si>
    <t>8.1.</t>
  </si>
  <si>
    <t xml:space="preserve"> Обеспечение всех направлений культурного развития ЗАТО Видяево</t>
  </si>
  <si>
    <t>8.1.Доля населения, принимающего участие в культурно-массовых мероприятиях (%)</t>
  </si>
  <si>
    <t>8.2.Развитие  творческой деятельности (количество объединений)</t>
  </si>
  <si>
    <t>Итого по задаче 8</t>
  </si>
  <si>
    <t>Задача 9:Обеспечение развития физической культуры и  спорта  на  территории  ЗАТО Видяево</t>
  </si>
  <si>
    <t>9.1.</t>
  </si>
  <si>
    <t xml:space="preserve"> Обеспечение развития физической культуры и  спорта  на  территории  ЗАТО Видяево</t>
  </si>
  <si>
    <t>9.1.Доля населения, систематически занимающихся физической культурой и спортом (%)</t>
  </si>
  <si>
    <t>МКУ «Отдел ОКСМП администрации ЗАТО Видяево», ведущий специалист по физической культуре и спорту</t>
  </si>
  <si>
    <t>9.2.Развитие  спортивной инфраструктуры  (количество объектов)</t>
  </si>
  <si>
    <t>Итого по задаче 9</t>
  </si>
  <si>
    <t>Задача 10: Выполнение  государственных  полномочий  по  опеке  и  попечительству  в  отношении несовершеннолетних</t>
  </si>
  <si>
    <t>10.1.</t>
  </si>
  <si>
    <t>.Доля детей, из числа детей-сирот и детей, оставшихся без попечения родителей, устроенных в семьи российских граждан (%)</t>
  </si>
  <si>
    <t>МКУ «Отдел ОКСМП администрации ЗАТО Видяево», главный специалист по опеке и попечительству</t>
  </si>
  <si>
    <t>10.2.</t>
  </si>
  <si>
    <t>Субвенции бюджетам  муниципальных образований на реализацию Закона Мурманской области "О наделении органов местного самоуправления муниципальных образований со статусом городского округа и мун. Района отдельными гос. Полномочиями по опеке и попечительству в отношении совершеннолетних граждан"</t>
  </si>
  <si>
    <t>Итого по задаче 10</t>
  </si>
  <si>
    <t>Всего: в т.ч.: ОБ</t>
  </si>
  <si>
    <t>Задача 11: Выполнение полномочий главного распорядителя  бюджетных  средств  в отношении подведомственных муниципальных учреждений образования, культуры и спорта</t>
  </si>
  <si>
    <t>11.1.</t>
  </si>
  <si>
    <t>Выполнение полномочий главного распорядителя  бюджетных  средств  в отношении подведомственных муниципальных учреждений образования, культуры и спорта</t>
  </si>
  <si>
    <t xml:space="preserve">11.1.Разработка и применение эффективных механизмов (методик) при формировании муниципальных заданий подведомственным учреждениям (количество)   </t>
  </si>
  <si>
    <t>МКУ «Отдел ОКСМП администрации ЗАТО Видяево», главный специалист и бухгалтерия отдела (в 2014году)</t>
  </si>
  <si>
    <t>11.2.Оценка  финансово-хозяйственной деятельности подведомственных учреждений (количество проверок)</t>
  </si>
  <si>
    <t>Итого по задаче 11</t>
  </si>
  <si>
    <t xml:space="preserve">Приложение № 3
к изменениям  в муниципальную программу "Развитие образования"
</t>
  </si>
  <si>
    <t xml:space="preserve">ПЕРЕЧЕНЬ
ОСНОВНЫХ МЕРОПРИЯТИЙ ВЕДОМСТВЕННОЙ ЦЕЛЕВОЙ ПРОГРАММЫ 
«Осуществление финансово-экономических функций и бухгалтерского обслуживания муниципальных учреждений ЗАТО Видяево»  </t>
  </si>
  <si>
    <t>Цель ВЦП: Повышение качества ведения бюджетного, бухгалтерского, налогового и статистического учета доходов и расходов, составление требуемой отчетности и предоставление её в установленном порядке в муниципальные учреждения ЗАТО Видяево.</t>
  </si>
  <si>
    <t>Задача 1: Организация и ведение бюджетного, бухгалтерского, налогового и статистического учета в муниципальных учреждениях ЗАТО Видяево.</t>
  </si>
  <si>
    <t>Услуга по централизованному ведению бюджетного, бухгалтерского и налогового учета в муниципальных учреждениях ЗАТО Видяево</t>
  </si>
  <si>
    <t>Всего:  В т.ч.:</t>
  </si>
  <si>
    <t>Своевременное исполнение обязательств по расчетам с обслуживаемыми учреждениями, %</t>
  </si>
  <si>
    <t>МБУ "ЦБО" ЗАТО Видяево</t>
  </si>
  <si>
    <t>Оказание консультационной помощи муниципальным учреждениям, кол-во консультаций</t>
  </si>
  <si>
    <t>не менее 100</t>
  </si>
  <si>
    <t>Своевременная сдача годовой, квартальной, месячной отчетности, %</t>
  </si>
  <si>
    <t>Задача 2: Обеспечение условий для качественного выполнения основных видов деятельности.</t>
  </si>
  <si>
    <t>Соблюдение лимитов потребления ресурсов (электрической и тепловой энергии, холодной воды, сточных вод), отсутствие перерасхода, %</t>
  </si>
  <si>
    <t>Оснащенность рабочих мест материально-техническим оборудованием, материалами и лицензионным программным продуктом, %</t>
  </si>
  <si>
    <t>Приложение № 4
к изменениям  в муниципальную программу "Развитие образования"</t>
  </si>
  <si>
    <t>Расходы на содержание имущества МБУ "ЦБО" ЗАТО Видяево</t>
  </si>
  <si>
    <t>Выполнение  государственных  полномочий  по  опеке  и  попечительству  в  отношении несовершеннолетних</t>
  </si>
  <si>
    <t xml:space="preserve">Всего:      в т.ч.: </t>
  </si>
  <si>
    <t xml:space="preserve">в т.ч.: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</si>
</sst>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#,##0.00&quot;р.&quot;"/>
    <numFmt numFmtId="170" formatCode="0.0"/>
    <numFmt numFmtId="171" formatCode="0.000"/>
    <numFmt numFmtId="172" formatCode="0.0%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sz val="7"/>
      <color indexed="8"/>
      <name val="Calibri"/>
      <family val="2"/>
    </font>
    <font>
      <b/>
      <sz val="9"/>
      <color indexed="8"/>
      <name val="Calibri"/>
      <family val="2"/>
    </font>
    <font>
      <b/>
      <i/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Calibri"/>
      <family val="2"/>
    </font>
    <font>
      <sz val="7"/>
      <color theme="1"/>
      <name val="Calibri"/>
      <family val="2"/>
    </font>
    <font>
      <b/>
      <sz val="9"/>
      <color theme="1"/>
      <name val="Calibri"/>
      <family val="2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i/>
      <sz val="8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802">
    <xf numFmtId="0" fontId="0" fillId="0" borderId="0" xfId="0" applyFont="1" applyAlignment="1">
      <alignment/>
    </xf>
    <xf numFmtId="0" fontId="52" fillId="0" borderId="0" xfId="0" applyFont="1" applyAlignment="1">
      <alignment readingOrder="1"/>
    </xf>
    <xf numFmtId="49" fontId="52" fillId="0" borderId="0" xfId="0" applyNumberFormat="1" applyFont="1" applyAlignment="1">
      <alignment readingOrder="1"/>
    </xf>
    <xf numFmtId="0" fontId="52" fillId="0" borderId="0" xfId="0" applyFont="1" applyAlignment="1">
      <alignment horizontal="center" readingOrder="1"/>
    </xf>
    <xf numFmtId="0" fontId="52" fillId="0" borderId="0" xfId="0" applyFont="1" applyAlignment="1">
      <alignment horizontal="left" readingOrder="1"/>
    </xf>
    <xf numFmtId="0" fontId="53" fillId="0" borderId="0" xfId="0" applyFont="1" applyAlignment="1">
      <alignment readingOrder="1"/>
    </xf>
    <xf numFmtId="0" fontId="53" fillId="0" borderId="0" xfId="0" applyFont="1" applyAlignment="1">
      <alignment horizontal="left" vertical="top" readingOrder="1"/>
    </xf>
    <xf numFmtId="49" fontId="53" fillId="0" borderId="0" xfId="0" applyNumberFormat="1" applyFont="1" applyAlignment="1">
      <alignment horizontal="center" vertical="center" readingOrder="1"/>
    </xf>
    <xf numFmtId="49" fontId="53" fillId="0" borderId="0" xfId="0" applyNumberFormat="1" applyFont="1" applyBorder="1" applyAlignment="1">
      <alignment horizontal="center" vertical="center" readingOrder="1"/>
    </xf>
    <xf numFmtId="0" fontId="53" fillId="0" borderId="0" xfId="0" applyFont="1" applyBorder="1" applyAlignment="1">
      <alignment readingOrder="1"/>
    </xf>
    <xf numFmtId="49" fontId="54" fillId="0" borderId="0" xfId="0" applyNumberFormat="1" applyFont="1" applyBorder="1" applyAlignment="1">
      <alignment horizontal="center" vertical="center" wrapText="1" readingOrder="1"/>
    </xf>
    <xf numFmtId="0" fontId="54" fillId="0" borderId="0" xfId="0" applyFont="1" applyBorder="1" applyAlignment="1">
      <alignment horizontal="left" vertical="top" wrapText="1" readingOrder="1"/>
    </xf>
    <xf numFmtId="49" fontId="54" fillId="0" borderId="0" xfId="0" applyNumberFormat="1" applyFont="1" applyBorder="1" applyAlignment="1">
      <alignment horizontal="center" vertical="center" readingOrder="1"/>
    </xf>
    <xf numFmtId="0" fontId="54" fillId="0" borderId="0" xfId="0" applyFont="1" applyBorder="1" applyAlignment="1">
      <alignment horizontal="left" vertical="top" readingOrder="1"/>
    </xf>
    <xf numFmtId="0" fontId="54" fillId="0" borderId="0" xfId="0" applyFont="1" applyBorder="1" applyAlignment="1">
      <alignment readingOrder="1"/>
    </xf>
    <xf numFmtId="0" fontId="54" fillId="0" borderId="10" xfId="0" applyFont="1" applyBorder="1" applyAlignment="1">
      <alignment horizontal="left" vertical="top" wrapText="1" readingOrder="1"/>
    </xf>
    <xf numFmtId="0" fontId="53" fillId="0" borderId="0" xfId="0" applyFont="1" applyAlignment="1">
      <alignment horizontal="left" readingOrder="1"/>
    </xf>
    <xf numFmtId="49" fontId="52" fillId="0" borderId="0" xfId="0" applyNumberFormat="1" applyFont="1" applyAlignment="1">
      <alignment horizontal="center" readingOrder="1"/>
    </xf>
    <xf numFmtId="49" fontId="53" fillId="0" borderId="0" xfId="0" applyNumberFormat="1" applyFont="1" applyAlignment="1">
      <alignment horizontal="center" readingOrder="1"/>
    </xf>
    <xf numFmtId="49" fontId="55" fillId="0" borderId="11" xfId="0" applyNumberFormat="1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top" wrapText="1" readingOrder="1"/>
    </xf>
    <xf numFmtId="0" fontId="55" fillId="0" borderId="11" xfId="0" applyFont="1" applyBorder="1" applyAlignment="1">
      <alignment horizontal="left" vertical="top" wrapText="1" readingOrder="1"/>
    </xf>
    <xf numFmtId="9" fontId="55" fillId="0" borderId="11" xfId="0" applyNumberFormat="1" applyFont="1" applyBorder="1" applyAlignment="1">
      <alignment horizontal="center" vertical="top" wrapText="1" readingOrder="1"/>
    </xf>
    <xf numFmtId="49" fontId="56" fillId="0" borderId="11" xfId="0" applyNumberFormat="1" applyFont="1" applyBorder="1" applyAlignment="1">
      <alignment horizontal="center" vertical="center" wrapText="1" readingOrder="1"/>
    </xf>
    <xf numFmtId="0" fontId="54" fillId="0" borderId="10" xfId="0" applyFont="1" applyBorder="1" applyAlignment="1">
      <alignment horizontal="center" vertical="top" wrapText="1" readingOrder="1"/>
    </xf>
    <xf numFmtId="0" fontId="54" fillId="0" borderId="0" xfId="0" applyFont="1" applyBorder="1" applyAlignment="1">
      <alignment horizontal="center" vertical="top" wrapText="1" readingOrder="1"/>
    </xf>
    <xf numFmtId="0" fontId="54" fillId="0" borderId="0" xfId="0" applyFont="1" applyBorder="1" applyAlignment="1">
      <alignment horizontal="center" vertical="top" readingOrder="1"/>
    </xf>
    <xf numFmtId="0" fontId="53" fillId="0" borderId="0" xfId="0" applyFont="1" applyAlignment="1">
      <alignment horizontal="center" vertical="top" readingOrder="1"/>
    </xf>
    <xf numFmtId="0" fontId="53" fillId="0" borderId="0" xfId="0" applyFont="1" applyBorder="1" applyAlignment="1">
      <alignment horizontal="center" vertical="top" readingOrder="1"/>
    </xf>
    <xf numFmtId="0" fontId="57" fillId="0" borderId="0" xfId="0" applyFont="1" applyAlignment="1">
      <alignment wrapText="1" readingOrder="1"/>
    </xf>
    <xf numFmtId="0" fontId="58" fillId="0" borderId="0" xfId="0" applyFont="1" applyAlignment="1">
      <alignment readingOrder="1"/>
    </xf>
    <xf numFmtId="0" fontId="57" fillId="0" borderId="0" xfId="0" applyFont="1" applyAlignment="1">
      <alignment readingOrder="1"/>
    </xf>
    <xf numFmtId="0" fontId="55" fillId="0" borderId="0" xfId="0" applyFont="1" applyAlignment="1">
      <alignment horizontal="right"/>
    </xf>
    <xf numFmtId="49" fontId="55" fillId="0" borderId="11" xfId="0" applyNumberFormat="1" applyFont="1" applyBorder="1" applyAlignment="1">
      <alignment horizontal="center" vertical="top" wrapText="1"/>
    </xf>
    <xf numFmtId="0" fontId="55" fillId="0" borderId="11" xfId="0" applyNumberFormat="1" applyFont="1" applyBorder="1" applyAlignment="1">
      <alignment horizontal="center" vertical="center" wrapText="1" readingOrder="1"/>
    </xf>
    <xf numFmtId="0" fontId="59" fillId="0" borderId="0" xfId="0" applyFont="1" applyAlignment="1">
      <alignment readingOrder="1"/>
    </xf>
    <xf numFmtId="49" fontId="56" fillId="0" borderId="11" xfId="0" applyNumberFormat="1" applyFont="1" applyBorder="1" applyAlignment="1">
      <alignment horizontal="center" wrapText="1" readingOrder="1"/>
    </xf>
    <xf numFmtId="0" fontId="55" fillId="0" borderId="12" xfId="0" applyFont="1" applyBorder="1" applyAlignment="1">
      <alignment vertical="top" wrapText="1"/>
    </xf>
    <xf numFmtId="0" fontId="56" fillId="0" borderId="13" xfId="0" applyFont="1" applyBorder="1" applyAlignment="1">
      <alignment vertical="top" wrapText="1"/>
    </xf>
    <xf numFmtId="0" fontId="56" fillId="0" borderId="14" xfId="0" applyFont="1" applyBorder="1" applyAlignment="1">
      <alignment vertical="top" wrapText="1"/>
    </xf>
    <xf numFmtId="49" fontId="56" fillId="0" borderId="11" xfId="0" applyNumberFormat="1" applyFont="1" applyBorder="1" applyAlignment="1">
      <alignment horizontal="center" vertical="top" wrapText="1"/>
    </xf>
    <xf numFmtId="49" fontId="56" fillId="0" borderId="11" xfId="0" applyNumberFormat="1" applyFont="1" applyBorder="1" applyAlignment="1">
      <alignment horizontal="center" vertical="center" wrapText="1"/>
    </xf>
    <xf numFmtId="0" fontId="55" fillId="0" borderId="12" xfId="0" applyNumberFormat="1" applyFont="1" applyBorder="1" applyAlignment="1">
      <alignment horizontal="center" vertical="center" wrapText="1" readingOrder="1"/>
    </xf>
    <xf numFmtId="49" fontId="55" fillId="0" borderId="15" xfId="0" applyNumberFormat="1" applyFont="1" applyBorder="1" applyAlignment="1">
      <alignment horizontal="left" vertical="top" wrapText="1" readingOrder="1"/>
    </xf>
    <xf numFmtId="0" fontId="55" fillId="0" borderId="11" xfId="0" applyNumberFormat="1" applyFont="1" applyBorder="1" applyAlignment="1">
      <alignment horizontal="center" vertical="center" wrapText="1" readingOrder="1"/>
    </xf>
    <xf numFmtId="49" fontId="57" fillId="0" borderId="0" xfId="0" applyNumberFormat="1" applyFont="1" applyAlignment="1">
      <alignment readingOrder="1"/>
    </xf>
    <xf numFmtId="0" fontId="57" fillId="0" borderId="0" xfId="0" applyFont="1" applyAlignment="1">
      <alignment horizontal="center" readingOrder="1"/>
    </xf>
    <xf numFmtId="0" fontId="57" fillId="0" borderId="0" xfId="0" applyFont="1" applyAlignment="1">
      <alignment horizontal="left" readingOrder="1"/>
    </xf>
    <xf numFmtId="49" fontId="55" fillId="0" borderId="0" xfId="0" applyNumberFormat="1" applyFont="1" applyAlignment="1">
      <alignment horizontal="center" vertical="center" readingOrder="1"/>
    </xf>
    <xf numFmtId="0" fontId="55" fillId="0" borderId="0" xfId="0" applyFont="1" applyAlignment="1">
      <alignment readingOrder="1"/>
    </xf>
    <xf numFmtId="0" fontId="55" fillId="0" borderId="0" xfId="0" applyFont="1" applyAlignment="1">
      <alignment horizontal="center" vertical="top" readingOrder="1"/>
    </xf>
    <xf numFmtId="49" fontId="57" fillId="0" borderId="0" xfId="0" applyNumberFormat="1" applyFont="1" applyAlignment="1">
      <alignment horizontal="center" readingOrder="1"/>
    </xf>
    <xf numFmtId="0" fontId="57" fillId="0" borderId="0" xfId="0" applyFont="1" applyAlignment="1">
      <alignment/>
    </xf>
    <xf numFmtId="49" fontId="56" fillId="0" borderId="11" xfId="0" applyNumberFormat="1" applyFont="1" applyBorder="1" applyAlignment="1">
      <alignment horizontal="center" vertical="center" wrapText="1"/>
    </xf>
    <xf numFmtId="170" fontId="55" fillId="0" borderId="12" xfId="0" applyNumberFormat="1" applyFont="1" applyBorder="1" applyAlignment="1">
      <alignment horizontal="center" vertical="center" wrapText="1" readingOrder="1"/>
    </xf>
    <xf numFmtId="170" fontId="55" fillId="0" borderId="11" xfId="0" applyNumberFormat="1" applyFont="1" applyBorder="1" applyAlignment="1">
      <alignment horizontal="center" vertical="center" wrapText="1" readingOrder="1"/>
    </xf>
    <xf numFmtId="0" fontId="55" fillId="0" borderId="11" xfId="0" applyFont="1" applyBorder="1" applyAlignment="1">
      <alignment horizontal="center" vertical="top" wrapText="1" readingOrder="1"/>
    </xf>
    <xf numFmtId="170" fontId="55" fillId="0" borderId="11" xfId="0" applyNumberFormat="1" applyFont="1" applyBorder="1" applyAlignment="1">
      <alignment horizontal="center" vertical="center" wrapText="1"/>
    </xf>
    <xf numFmtId="170" fontId="55" fillId="0" borderId="12" xfId="0" applyNumberFormat="1" applyFont="1" applyBorder="1" applyAlignment="1">
      <alignment horizontal="center" vertical="center" wrapText="1"/>
    </xf>
    <xf numFmtId="49" fontId="56" fillId="0" borderId="16" xfId="0" applyNumberFormat="1" applyFont="1" applyBorder="1" applyAlignment="1">
      <alignment horizontal="center" readingOrder="1"/>
    </xf>
    <xf numFmtId="0" fontId="56" fillId="0" borderId="11" xfId="0" applyFont="1" applyBorder="1" applyAlignment="1">
      <alignment horizontal="center" vertical="center" wrapText="1"/>
    </xf>
    <xf numFmtId="170" fontId="56" fillId="33" borderId="11" xfId="0" applyNumberFormat="1" applyFont="1" applyFill="1" applyBorder="1" applyAlignment="1">
      <alignment horizontal="center" vertical="center" wrapText="1"/>
    </xf>
    <xf numFmtId="0" fontId="55" fillId="0" borderId="12" xfId="0" applyFont="1" applyBorder="1" applyAlignment="1">
      <alignment horizontal="left" vertical="top" wrapText="1" readingOrder="1"/>
    </xf>
    <xf numFmtId="0" fontId="57" fillId="0" borderId="0" xfId="0" applyFont="1" applyAlignment="1">
      <alignment horizontal="center" vertical="center" wrapText="1" readingOrder="1"/>
    </xf>
    <xf numFmtId="0" fontId="56" fillId="0" borderId="17" xfId="0" applyFont="1" applyBorder="1" applyAlignment="1">
      <alignment horizontal="center" vertical="center" wrapText="1"/>
    </xf>
    <xf numFmtId="0" fontId="56" fillId="0" borderId="18" xfId="0" applyFont="1" applyBorder="1" applyAlignment="1">
      <alignment horizontal="center" vertical="center" wrapText="1"/>
    </xf>
    <xf numFmtId="0" fontId="55" fillId="0" borderId="18" xfId="0" applyFont="1" applyBorder="1" applyAlignment="1">
      <alignment horizontal="center" vertical="center" wrapText="1"/>
    </xf>
    <xf numFmtId="0" fontId="55" fillId="0" borderId="19" xfId="0" applyFont="1" applyBorder="1" applyAlignment="1">
      <alignment horizontal="center" vertical="center" wrapText="1"/>
    </xf>
    <xf numFmtId="0" fontId="56" fillId="0" borderId="20" xfId="0" applyFont="1" applyBorder="1" applyAlignment="1">
      <alignment horizontal="center" vertical="center" wrapText="1"/>
    </xf>
    <xf numFmtId="0" fontId="56" fillId="0" borderId="21" xfId="0" applyFont="1" applyBorder="1" applyAlignment="1">
      <alignment horizontal="center" vertical="center" wrapText="1"/>
    </xf>
    <xf numFmtId="0" fontId="52" fillId="0" borderId="0" xfId="0" applyFont="1" applyAlignment="1">
      <alignment horizontal="center" vertical="center" readingOrder="1"/>
    </xf>
    <xf numFmtId="170" fontId="55" fillId="0" borderId="22" xfId="0" applyNumberFormat="1" applyFont="1" applyBorder="1" applyAlignment="1">
      <alignment horizontal="center" vertical="center" wrapText="1"/>
    </xf>
    <xf numFmtId="170" fontId="55" fillId="0" borderId="23" xfId="0" applyNumberFormat="1" applyFont="1" applyBorder="1" applyAlignment="1">
      <alignment horizontal="center" vertical="center" wrapText="1"/>
    </xf>
    <xf numFmtId="170" fontId="55" fillId="0" borderId="24" xfId="0" applyNumberFormat="1" applyFont="1" applyBorder="1" applyAlignment="1">
      <alignment horizontal="center" vertical="center" wrapText="1"/>
    </xf>
    <xf numFmtId="170" fontId="56" fillId="0" borderId="25" xfId="0" applyNumberFormat="1" applyFont="1" applyBorder="1" applyAlignment="1">
      <alignment horizontal="center" vertical="center" wrapText="1"/>
    </xf>
    <xf numFmtId="170" fontId="56" fillId="0" borderId="26" xfId="0" applyNumberFormat="1" applyFont="1" applyBorder="1" applyAlignment="1">
      <alignment horizontal="center" vertical="center" wrapText="1"/>
    </xf>
    <xf numFmtId="170" fontId="56" fillId="0" borderId="27" xfId="0" applyNumberFormat="1" applyFont="1" applyBorder="1" applyAlignment="1">
      <alignment horizontal="center" vertical="center" wrapText="1"/>
    </xf>
    <xf numFmtId="170" fontId="56" fillId="0" borderId="28" xfId="0" applyNumberFormat="1" applyFont="1" applyBorder="1" applyAlignment="1">
      <alignment horizontal="center" vertical="center" wrapText="1"/>
    </xf>
    <xf numFmtId="0" fontId="57" fillId="0" borderId="0" xfId="0" applyFont="1" applyAlignment="1">
      <alignment horizontal="center" vertical="top" wrapText="1" readingOrder="1"/>
    </xf>
    <xf numFmtId="0" fontId="52" fillId="0" borderId="0" xfId="0" applyFont="1" applyAlignment="1">
      <alignment horizontal="center" vertical="top" readingOrder="1"/>
    </xf>
    <xf numFmtId="0" fontId="55" fillId="0" borderId="0" xfId="0" applyFont="1" applyAlignment="1">
      <alignment horizontal="center" vertical="center" readingOrder="1"/>
    </xf>
    <xf numFmtId="0" fontId="55" fillId="0" borderId="11" xfId="0" applyFont="1" applyBorder="1" applyAlignment="1">
      <alignment horizontal="center" vertical="center" wrapText="1" readingOrder="1"/>
    </xf>
    <xf numFmtId="0" fontId="55" fillId="0" borderId="12" xfId="0" applyFont="1" applyBorder="1" applyAlignment="1">
      <alignment horizontal="center" vertical="center" wrapText="1" readingOrder="1"/>
    </xf>
    <xf numFmtId="0" fontId="54" fillId="0" borderId="0" xfId="0" applyFont="1" applyBorder="1" applyAlignment="1">
      <alignment horizontal="center" vertical="center" wrapText="1" readingOrder="1"/>
    </xf>
    <xf numFmtId="0" fontId="54" fillId="0" borderId="0" xfId="0" applyFont="1" applyBorder="1" applyAlignment="1">
      <alignment horizontal="center" vertical="center" readingOrder="1"/>
    </xf>
    <xf numFmtId="0" fontId="53" fillId="0" borderId="0" xfId="0" applyFont="1" applyBorder="1" applyAlignment="1">
      <alignment horizontal="center" vertical="center" readingOrder="1"/>
    </xf>
    <xf numFmtId="0" fontId="53" fillId="0" borderId="0" xfId="0" applyFont="1" applyAlignment="1">
      <alignment horizontal="center" vertical="center" readingOrder="1"/>
    </xf>
    <xf numFmtId="0" fontId="57" fillId="0" borderId="0" xfId="0" applyFont="1" applyAlignment="1">
      <alignment horizontal="left" vertical="center" wrapText="1" readingOrder="1"/>
    </xf>
    <xf numFmtId="0" fontId="52" fillId="0" borderId="0" xfId="0" applyFont="1" applyAlignment="1">
      <alignment horizontal="left" vertical="center" readingOrder="1"/>
    </xf>
    <xf numFmtId="0" fontId="57" fillId="0" borderId="0" xfId="0" applyFont="1" applyFill="1" applyAlignment="1">
      <alignment vertical="center"/>
    </xf>
    <xf numFmtId="0" fontId="57" fillId="0" borderId="0" xfId="0" applyFont="1" applyBorder="1" applyAlignment="1">
      <alignment/>
    </xf>
    <xf numFmtId="0" fontId="55" fillId="0" borderId="0" xfId="0" applyFont="1" applyBorder="1" applyAlignment="1">
      <alignment vertical="top" wrapText="1"/>
    </xf>
    <xf numFmtId="170" fontId="56" fillId="13" borderId="11" xfId="0" applyNumberFormat="1" applyFont="1" applyFill="1" applyBorder="1" applyAlignment="1">
      <alignment horizontal="center" vertical="center"/>
    </xf>
    <xf numFmtId="170" fontId="55" fillId="13" borderId="11" xfId="0" applyNumberFormat="1" applyFont="1" applyFill="1" applyBorder="1" applyAlignment="1">
      <alignment horizontal="center" vertical="center"/>
    </xf>
    <xf numFmtId="0" fontId="55" fillId="0" borderId="0" xfId="0" applyFont="1" applyBorder="1" applyAlignment="1">
      <alignment vertical="top" wrapText="1" readingOrder="1"/>
    </xf>
    <xf numFmtId="170" fontId="55" fillId="33" borderId="11" xfId="0" applyNumberFormat="1" applyFont="1" applyFill="1" applyBorder="1" applyAlignment="1">
      <alignment horizontal="center" vertical="center" wrapText="1"/>
    </xf>
    <xf numFmtId="170" fontId="56" fillId="33" borderId="11" xfId="0" applyNumberFormat="1" applyFont="1" applyFill="1" applyBorder="1" applyAlignment="1">
      <alignment horizontal="center" vertical="center"/>
    </xf>
    <xf numFmtId="0" fontId="57" fillId="33" borderId="0" xfId="0" applyFont="1" applyFill="1" applyAlignment="1">
      <alignment/>
    </xf>
    <xf numFmtId="170" fontId="55" fillId="33" borderId="11" xfId="0" applyNumberFormat="1" applyFont="1" applyFill="1" applyBorder="1" applyAlignment="1">
      <alignment horizontal="center" vertical="center"/>
    </xf>
    <xf numFmtId="170" fontId="57" fillId="0" borderId="0" xfId="0" applyNumberFormat="1" applyFont="1" applyAlignment="1">
      <alignment/>
    </xf>
    <xf numFmtId="170" fontId="56" fillId="13" borderId="11" xfId="0" applyNumberFormat="1" applyFont="1" applyFill="1" applyBorder="1" applyAlignment="1">
      <alignment horizontal="center" vertical="center" wrapText="1"/>
    </xf>
    <xf numFmtId="170" fontId="55" fillId="13" borderId="11" xfId="0" applyNumberFormat="1" applyFont="1" applyFill="1" applyBorder="1" applyAlignment="1">
      <alignment horizontal="center" vertical="center" wrapText="1"/>
    </xf>
    <xf numFmtId="1" fontId="57" fillId="0" borderId="0" xfId="0" applyNumberFormat="1" applyFont="1" applyAlignment="1">
      <alignment/>
    </xf>
    <xf numFmtId="0" fontId="56" fillId="0" borderId="11" xfId="0" applyFont="1" applyBorder="1" applyAlignment="1">
      <alignment horizontal="left" vertical="top" wrapText="1" readingOrder="1"/>
    </xf>
    <xf numFmtId="170" fontId="55" fillId="33" borderId="11" xfId="0" applyNumberFormat="1" applyFont="1" applyFill="1" applyBorder="1" applyAlignment="1">
      <alignment horizontal="center" vertical="center" wrapText="1"/>
    </xf>
    <xf numFmtId="49" fontId="55" fillId="0" borderId="16" xfId="0" applyNumberFormat="1" applyFont="1" applyBorder="1" applyAlignment="1">
      <alignment horizontal="left" vertical="center" wrapText="1" readingOrder="1"/>
    </xf>
    <xf numFmtId="9" fontId="55" fillId="0" borderId="16" xfId="0" applyNumberFormat="1" applyFont="1" applyBorder="1" applyAlignment="1">
      <alignment horizontal="center" vertical="center" wrapText="1" readingOrder="1"/>
    </xf>
    <xf numFmtId="0" fontId="55" fillId="0" borderId="11" xfId="0" applyFont="1" applyBorder="1" applyAlignment="1">
      <alignment horizontal="center" vertical="top" wrapText="1"/>
    </xf>
    <xf numFmtId="170" fontId="55" fillId="0" borderId="11" xfId="0" applyNumberFormat="1" applyFont="1" applyBorder="1" applyAlignment="1">
      <alignment horizontal="center" vertical="center" wrapText="1"/>
    </xf>
    <xf numFmtId="170" fontId="55" fillId="0" borderId="12" xfId="0" applyNumberFormat="1" applyFont="1" applyBorder="1" applyAlignment="1">
      <alignment horizontal="center" vertical="center" wrapText="1"/>
    </xf>
    <xf numFmtId="170" fontId="55" fillId="0" borderId="12" xfId="0" applyNumberFormat="1" applyFont="1" applyBorder="1" applyAlignment="1">
      <alignment horizontal="center" vertical="center" wrapText="1" readingOrder="1"/>
    </xf>
    <xf numFmtId="170" fontId="55" fillId="0" borderId="11" xfId="0" applyNumberFormat="1" applyFont="1" applyBorder="1" applyAlignment="1">
      <alignment horizontal="center" vertical="top" wrapText="1"/>
    </xf>
    <xf numFmtId="0" fontId="55" fillId="0" borderId="11" xfId="0" applyFont="1" applyBorder="1" applyAlignment="1">
      <alignment horizontal="center" vertical="top" wrapText="1" readingOrder="1"/>
    </xf>
    <xf numFmtId="170" fontId="55" fillId="0" borderId="11" xfId="0" applyNumberFormat="1" applyFont="1" applyBorder="1" applyAlignment="1">
      <alignment horizontal="center" vertical="center" wrapText="1" readingOrder="1"/>
    </xf>
    <xf numFmtId="0" fontId="55" fillId="0" borderId="12" xfId="0" applyNumberFormat="1" applyFont="1" applyBorder="1" applyAlignment="1">
      <alignment horizontal="center" vertical="center" wrapText="1" readingOrder="1"/>
    </xf>
    <xf numFmtId="0" fontId="56" fillId="0" borderId="11" xfId="0" applyFont="1" applyBorder="1" applyAlignment="1">
      <alignment horizontal="center" wrapText="1"/>
    </xf>
    <xf numFmtId="170" fontId="55" fillId="33" borderId="29" xfId="0" applyNumberFormat="1" applyFont="1" applyFill="1" applyBorder="1" applyAlignment="1">
      <alignment horizontal="center" vertical="center" wrapText="1" readingOrder="1"/>
    </xf>
    <xf numFmtId="0" fontId="55" fillId="0" borderId="11" xfId="0" applyFont="1" applyBorder="1" applyAlignment="1">
      <alignment vertical="center" wrapText="1"/>
    </xf>
    <xf numFmtId="170" fontId="55" fillId="0" borderId="11" xfId="0" applyNumberFormat="1" applyFont="1" applyBorder="1" applyAlignment="1">
      <alignment vertical="center" wrapText="1" readingOrder="1"/>
    </xf>
    <xf numFmtId="0" fontId="55" fillId="0" borderId="0" xfId="0" applyFont="1" applyAlignment="1">
      <alignment horizontal="center" wrapText="1"/>
    </xf>
    <xf numFmtId="0" fontId="56" fillId="0" borderId="17" xfId="0" applyFont="1" applyBorder="1" applyAlignment="1">
      <alignment horizontal="center" vertical="center" wrapText="1" readingOrder="1"/>
    </xf>
    <xf numFmtId="0" fontId="56" fillId="0" borderId="18" xfId="0" applyFont="1" applyBorder="1" applyAlignment="1">
      <alignment horizontal="center" vertical="center" wrapText="1" readingOrder="1"/>
    </xf>
    <xf numFmtId="0" fontId="55" fillId="0" borderId="18" xfId="0" applyFont="1" applyBorder="1" applyAlignment="1">
      <alignment horizontal="center" vertical="center" wrapText="1" readingOrder="1"/>
    </xf>
    <xf numFmtId="170" fontId="55" fillId="0" borderId="22" xfId="0" applyNumberFormat="1" applyFont="1" applyBorder="1" applyAlignment="1">
      <alignment horizontal="center" vertical="top" wrapText="1"/>
    </xf>
    <xf numFmtId="0" fontId="55" fillId="0" borderId="19" xfId="0" applyFont="1" applyBorder="1" applyAlignment="1">
      <alignment horizontal="center" vertical="center" wrapText="1" readingOrder="1"/>
    </xf>
    <xf numFmtId="170" fontId="55" fillId="0" borderId="23" xfId="0" applyNumberFormat="1" applyFont="1" applyBorder="1" applyAlignment="1">
      <alignment horizontal="center" vertical="top" wrapText="1"/>
    </xf>
    <xf numFmtId="170" fontId="55" fillId="0" borderId="24" xfId="0" applyNumberFormat="1" applyFont="1" applyBorder="1" applyAlignment="1">
      <alignment horizontal="center" vertical="top" wrapText="1"/>
    </xf>
    <xf numFmtId="49" fontId="55" fillId="0" borderId="16" xfId="0" applyNumberFormat="1" applyFont="1" applyBorder="1" applyAlignment="1">
      <alignment vertical="top" wrapText="1" readingOrder="1"/>
    </xf>
    <xf numFmtId="49" fontId="55" fillId="0" borderId="11" xfId="0" applyNumberFormat="1" applyFont="1" applyBorder="1" applyAlignment="1">
      <alignment vertical="top" wrapText="1" readingOrder="1"/>
    </xf>
    <xf numFmtId="170" fontId="55" fillId="0" borderId="12" xfId="0" applyNumberFormat="1" applyFont="1" applyBorder="1" applyAlignment="1">
      <alignment horizontal="center" vertical="center" wrapText="1" readingOrder="1"/>
    </xf>
    <xf numFmtId="170" fontId="55" fillId="0" borderId="16" xfId="0" applyNumberFormat="1" applyFont="1" applyBorder="1" applyAlignment="1">
      <alignment horizontal="center" vertical="center" wrapText="1" readingOrder="1"/>
    </xf>
    <xf numFmtId="49" fontId="55" fillId="0" borderId="12" xfId="0" applyNumberFormat="1" applyFont="1" applyBorder="1" applyAlignment="1">
      <alignment horizontal="center" vertical="top" wrapText="1" readingOrder="1"/>
    </xf>
    <xf numFmtId="0" fontId="55" fillId="0" borderId="16" xfId="0" applyFont="1" applyBorder="1" applyAlignment="1">
      <alignment horizontal="center" vertical="top" wrapText="1"/>
    </xf>
    <xf numFmtId="49" fontId="55" fillId="0" borderId="11" xfId="0" applyNumberFormat="1" applyFont="1" applyBorder="1" applyAlignment="1">
      <alignment horizontal="center" vertical="top" wrapText="1" readingOrder="1"/>
    </xf>
    <xf numFmtId="0" fontId="55" fillId="0" borderId="11" xfId="0" applyFont="1" applyBorder="1" applyAlignment="1">
      <alignment vertical="top" wrapText="1"/>
    </xf>
    <xf numFmtId="0" fontId="55" fillId="0" borderId="12" xfId="0" applyFont="1" applyBorder="1" applyAlignment="1">
      <alignment horizontal="left" vertical="top" wrapText="1"/>
    </xf>
    <xf numFmtId="0" fontId="55" fillId="0" borderId="11" xfId="0" applyFont="1" applyBorder="1" applyAlignment="1">
      <alignment horizontal="center" vertical="top" wrapText="1" readingOrder="1"/>
    </xf>
    <xf numFmtId="170" fontId="55" fillId="0" borderId="11" xfId="0" applyNumberFormat="1" applyFont="1" applyBorder="1" applyAlignment="1">
      <alignment horizontal="center" vertical="center" wrapText="1" readingOrder="1"/>
    </xf>
    <xf numFmtId="170" fontId="55" fillId="0" borderId="15" xfId="0" applyNumberFormat="1" applyFont="1" applyBorder="1" applyAlignment="1">
      <alignment horizontal="center" vertical="center" wrapText="1" readingOrder="1"/>
    </xf>
    <xf numFmtId="49" fontId="55" fillId="0" borderId="11" xfId="0" applyNumberFormat="1" applyFont="1" applyBorder="1" applyAlignment="1">
      <alignment horizontal="left" vertical="top" wrapText="1" readingOrder="1"/>
    </xf>
    <xf numFmtId="49" fontId="55" fillId="0" borderId="11" xfId="0" applyNumberFormat="1" applyFont="1" applyBorder="1" applyAlignment="1">
      <alignment horizontal="center" vertical="top" readingOrder="1"/>
    </xf>
    <xf numFmtId="49" fontId="55" fillId="0" borderId="12" xfId="0" applyNumberFormat="1" applyFont="1" applyBorder="1" applyAlignment="1">
      <alignment horizontal="center" vertical="top" readingOrder="1"/>
    </xf>
    <xf numFmtId="49" fontId="55" fillId="0" borderId="16" xfId="0" applyNumberFormat="1" applyFont="1" applyBorder="1" applyAlignment="1">
      <alignment horizontal="center" vertical="top" readingOrder="1"/>
    </xf>
    <xf numFmtId="170" fontId="52" fillId="0" borderId="0" xfId="0" applyNumberFormat="1" applyFont="1" applyAlignment="1">
      <alignment horizontal="center" vertical="center" readingOrder="1"/>
    </xf>
    <xf numFmtId="49" fontId="56" fillId="0" borderId="16" xfId="0" applyNumberFormat="1" applyFont="1" applyBorder="1" applyAlignment="1">
      <alignment horizontal="center" vertical="center" wrapText="1" readingOrder="1"/>
    </xf>
    <xf numFmtId="49" fontId="55" fillId="0" borderId="30" xfId="0" applyNumberFormat="1" applyFont="1" applyBorder="1" applyAlignment="1">
      <alignment horizontal="center" vertical="top" wrapText="1" readingOrder="1"/>
    </xf>
    <xf numFmtId="49" fontId="56" fillId="0" borderId="31" xfId="0" applyNumberFormat="1" applyFont="1" applyBorder="1" applyAlignment="1">
      <alignment horizontal="left" vertical="top" wrapText="1" readingOrder="1"/>
    </xf>
    <xf numFmtId="49" fontId="55" fillId="0" borderId="31" xfId="0" applyNumberFormat="1" applyFont="1" applyBorder="1" applyAlignment="1">
      <alignment horizontal="center" vertical="top" wrapText="1" readingOrder="1"/>
    </xf>
    <xf numFmtId="0" fontId="55" fillId="0" borderId="11" xfId="0" applyFont="1" applyBorder="1" applyAlignment="1">
      <alignment horizontal="left" vertical="top" wrapText="1"/>
    </xf>
    <xf numFmtId="170" fontId="56" fillId="0" borderId="11" xfId="0" applyNumberFormat="1" applyFont="1" applyBorder="1" applyAlignment="1">
      <alignment horizontal="center" vertical="center" wrapText="1" readingOrder="1"/>
    </xf>
    <xf numFmtId="49" fontId="55" fillId="0" borderId="12" xfId="0" applyNumberFormat="1" applyFont="1" applyBorder="1" applyAlignment="1">
      <alignment horizontal="left" vertical="top" wrapText="1" readingOrder="1"/>
    </xf>
    <xf numFmtId="49" fontId="55" fillId="0" borderId="11" xfId="0" applyNumberFormat="1" applyFont="1" applyBorder="1" applyAlignment="1">
      <alignment horizontal="left" vertical="top" wrapText="1" readingOrder="1"/>
    </xf>
    <xf numFmtId="170" fontId="55" fillId="0" borderId="11" xfId="0" applyNumberFormat="1" applyFont="1" applyBorder="1" applyAlignment="1">
      <alignment horizontal="center" vertical="center" wrapText="1"/>
    </xf>
    <xf numFmtId="170" fontId="55" fillId="0" borderId="12" xfId="0" applyNumberFormat="1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top" wrapText="1"/>
    </xf>
    <xf numFmtId="0" fontId="55" fillId="0" borderId="11" xfId="0" applyFont="1" applyBorder="1" applyAlignment="1">
      <alignment vertical="top" wrapText="1"/>
    </xf>
    <xf numFmtId="170" fontId="55" fillId="33" borderId="11" xfId="0" applyNumberFormat="1" applyFont="1" applyFill="1" applyBorder="1" applyAlignment="1">
      <alignment horizontal="center" vertical="center" wrapText="1"/>
    </xf>
    <xf numFmtId="170" fontId="55" fillId="0" borderId="12" xfId="0" applyNumberFormat="1" applyFont="1" applyBorder="1" applyAlignment="1">
      <alignment horizontal="center" vertical="center" wrapText="1" readingOrder="1"/>
    </xf>
    <xf numFmtId="170" fontId="55" fillId="0" borderId="11" xfId="0" applyNumberFormat="1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top" wrapText="1"/>
    </xf>
    <xf numFmtId="0" fontId="55" fillId="0" borderId="29" xfId="0" applyFont="1" applyBorder="1" applyAlignment="1">
      <alignment horizontal="center" vertical="top" wrapText="1" readingOrder="1"/>
    </xf>
    <xf numFmtId="170" fontId="55" fillId="0" borderId="12" xfId="0" applyNumberFormat="1" applyFont="1" applyBorder="1" applyAlignment="1">
      <alignment horizontal="center" vertical="top" wrapText="1"/>
    </xf>
    <xf numFmtId="170" fontId="55" fillId="0" borderId="11" xfId="0" applyNumberFormat="1" applyFont="1" applyBorder="1" applyAlignment="1">
      <alignment horizontal="center" vertical="top" wrapText="1"/>
    </xf>
    <xf numFmtId="49" fontId="56" fillId="0" borderId="11" xfId="0" applyNumberFormat="1" applyFont="1" applyBorder="1" applyAlignment="1">
      <alignment horizontal="left" vertical="top" wrapText="1"/>
    </xf>
    <xf numFmtId="0" fontId="55" fillId="0" borderId="12" xfId="0" applyFont="1" applyBorder="1" applyAlignment="1">
      <alignment horizontal="left" vertical="top" wrapText="1" readingOrder="1"/>
    </xf>
    <xf numFmtId="9" fontId="55" fillId="0" borderId="12" xfId="0" applyNumberFormat="1" applyFont="1" applyBorder="1" applyAlignment="1">
      <alignment horizontal="center" vertical="top" wrapText="1" readingOrder="1"/>
    </xf>
    <xf numFmtId="0" fontId="55" fillId="0" borderId="11" xfId="0" applyFont="1" applyBorder="1" applyAlignment="1">
      <alignment horizontal="center" vertical="top" wrapText="1" readingOrder="1"/>
    </xf>
    <xf numFmtId="49" fontId="56" fillId="0" borderId="32" xfId="0" applyNumberFormat="1" applyFont="1" applyBorder="1" applyAlignment="1">
      <alignment horizontal="left" vertical="center" wrapText="1" readingOrder="1"/>
    </xf>
    <xf numFmtId="49" fontId="55" fillId="0" borderId="33" xfId="0" applyNumberFormat="1" applyFont="1" applyBorder="1" applyAlignment="1">
      <alignment horizontal="center" vertical="center" wrapText="1" readingOrder="1"/>
    </xf>
    <xf numFmtId="49" fontId="56" fillId="0" borderId="12" xfId="0" applyNumberFormat="1" applyFont="1" applyBorder="1" applyAlignment="1">
      <alignment horizontal="center" vertical="center" wrapText="1"/>
    </xf>
    <xf numFmtId="49" fontId="56" fillId="0" borderId="12" xfId="0" applyNumberFormat="1" applyFont="1" applyBorder="1" applyAlignment="1">
      <alignment horizontal="left" vertical="top" wrapText="1"/>
    </xf>
    <xf numFmtId="0" fontId="56" fillId="0" borderId="34" xfId="0" applyFont="1" applyBorder="1" applyAlignment="1">
      <alignment horizontal="left" vertical="top" wrapText="1"/>
    </xf>
    <xf numFmtId="0" fontId="56" fillId="0" borderId="11" xfId="0" applyFont="1" applyBorder="1" applyAlignment="1">
      <alignment horizontal="left" vertical="center" wrapText="1"/>
    </xf>
    <xf numFmtId="0" fontId="56" fillId="0" borderId="35" xfId="0" applyFont="1" applyBorder="1" applyAlignment="1">
      <alignment horizontal="left" vertical="center" wrapText="1"/>
    </xf>
    <xf numFmtId="0" fontId="55" fillId="0" borderId="36" xfId="0" applyFont="1" applyBorder="1" applyAlignment="1">
      <alignment horizontal="center" vertical="center" wrapText="1"/>
    </xf>
    <xf numFmtId="170" fontId="53" fillId="0" borderId="11" xfId="0" applyNumberFormat="1" applyFont="1" applyBorder="1" applyAlignment="1">
      <alignment horizontal="center" readingOrder="1"/>
    </xf>
    <xf numFmtId="0" fontId="53" fillId="0" borderId="11" xfId="0" applyFont="1" applyBorder="1" applyAlignment="1">
      <alignment horizontal="center" readingOrder="1"/>
    </xf>
    <xf numFmtId="0" fontId="56" fillId="0" borderId="12" xfId="0" applyFont="1" applyBorder="1" applyAlignment="1">
      <alignment vertical="top" wrapText="1"/>
    </xf>
    <xf numFmtId="170" fontId="55" fillId="0" borderId="11" xfId="0" applyNumberFormat="1" applyFont="1" applyBorder="1" applyAlignment="1">
      <alignment horizontal="center" vertical="center" wrapText="1"/>
    </xf>
    <xf numFmtId="170" fontId="55" fillId="0" borderId="12" xfId="0" applyNumberFormat="1" applyFont="1" applyBorder="1" applyAlignment="1">
      <alignment horizontal="center" vertical="center" wrapText="1"/>
    </xf>
    <xf numFmtId="0" fontId="55" fillId="0" borderId="16" xfId="0" applyFont="1" applyBorder="1" applyAlignment="1">
      <alignment horizontal="center" vertical="top" wrapText="1"/>
    </xf>
    <xf numFmtId="49" fontId="56" fillId="0" borderId="11" xfId="0" applyNumberFormat="1" applyFont="1" applyBorder="1" applyAlignment="1">
      <alignment horizontal="left" vertical="top" wrapText="1"/>
    </xf>
    <xf numFmtId="170" fontId="55" fillId="0" borderId="11" xfId="0" applyNumberFormat="1" applyFont="1" applyBorder="1" applyAlignment="1">
      <alignment horizontal="center" vertical="top" wrapText="1"/>
    </xf>
    <xf numFmtId="0" fontId="56" fillId="0" borderId="37" xfId="0" applyFont="1" applyBorder="1" applyAlignment="1">
      <alignment horizontal="left" vertical="center" wrapText="1" readingOrder="1"/>
    </xf>
    <xf numFmtId="0" fontId="56" fillId="0" borderId="11" xfId="0" applyFont="1" applyBorder="1" applyAlignment="1">
      <alignment horizontal="left" vertical="center" wrapText="1" readingOrder="1"/>
    </xf>
    <xf numFmtId="170" fontId="56" fillId="0" borderId="38" xfId="0" applyNumberFormat="1" applyFont="1" applyBorder="1" applyAlignment="1">
      <alignment horizontal="center" vertical="top" wrapText="1"/>
    </xf>
    <xf numFmtId="0" fontId="53" fillId="0" borderId="33" xfId="0" applyFont="1" applyBorder="1" applyAlignment="1">
      <alignment horizontal="center" readingOrder="1"/>
    </xf>
    <xf numFmtId="9" fontId="55" fillId="0" borderId="11" xfId="0" applyNumberFormat="1" applyFont="1" applyBorder="1" applyAlignment="1">
      <alignment horizontal="center" vertical="center" wrapText="1" readingOrder="1"/>
    </xf>
    <xf numFmtId="49" fontId="55" fillId="0" borderId="12" xfId="0" applyNumberFormat="1" applyFont="1" applyBorder="1" applyAlignment="1">
      <alignment horizontal="center" vertical="top" wrapText="1" readingOrder="1"/>
    </xf>
    <xf numFmtId="49" fontId="55" fillId="0" borderId="11" xfId="0" applyNumberFormat="1" applyFont="1" applyBorder="1" applyAlignment="1">
      <alignment horizontal="center" vertical="top" wrapText="1" readingOrder="1"/>
    </xf>
    <xf numFmtId="0" fontId="55" fillId="0" borderId="11" xfId="0" applyFont="1" applyBorder="1" applyAlignment="1">
      <alignment horizontal="center" vertical="top" wrapText="1" readingOrder="1"/>
    </xf>
    <xf numFmtId="0" fontId="55" fillId="0" borderId="11" xfId="0" applyFont="1" applyBorder="1" applyAlignment="1">
      <alignment horizontal="center" wrapText="1" readingOrder="1"/>
    </xf>
    <xf numFmtId="0" fontId="55" fillId="0" borderId="11" xfId="0" applyFont="1" applyBorder="1" applyAlignment="1">
      <alignment horizontal="center" wrapText="1"/>
    </xf>
    <xf numFmtId="170" fontId="55" fillId="33" borderId="11" xfId="0" applyNumberFormat="1" applyFont="1" applyFill="1" applyBorder="1" applyAlignment="1">
      <alignment horizontal="center" vertical="center" wrapText="1" readingOrder="1"/>
    </xf>
    <xf numFmtId="170" fontId="56" fillId="33" borderId="11" xfId="0" applyNumberFormat="1" applyFont="1" applyFill="1" applyBorder="1" applyAlignment="1">
      <alignment horizontal="center" vertical="center" wrapText="1" readingOrder="1"/>
    </xf>
    <xf numFmtId="0" fontId="55" fillId="0" borderId="39" xfId="0" applyFont="1" applyBorder="1" applyAlignment="1">
      <alignment horizontal="center" vertical="center" wrapText="1"/>
    </xf>
    <xf numFmtId="0" fontId="56" fillId="0" borderId="30" xfId="0" applyFont="1" applyBorder="1" applyAlignment="1">
      <alignment horizontal="left" vertical="center" wrapText="1"/>
    </xf>
    <xf numFmtId="49" fontId="55" fillId="0" borderId="11" xfId="57" applyNumberFormat="1" applyFont="1" applyBorder="1" applyAlignment="1">
      <alignment horizontal="center" vertical="center" wrapText="1" readingOrder="1"/>
    </xf>
    <xf numFmtId="0" fontId="55" fillId="0" borderId="11" xfId="0" applyFont="1" applyBorder="1" applyAlignment="1">
      <alignment horizontal="left" vertical="top" wrapText="1" readingOrder="1"/>
    </xf>
    <xf numFmtId="0" fontId="56" fillId="0" borderId="12" xfId="0" applyFont="1" applyBorder="1" applyAlignment="1">
      <alignment vertical="top" wrapText="1"/>
    </xf>
    <xf numFmtId="0" fontId="55" fillId="0" borderId="16" xfId="0" applyFont="1" applyBorder="1" applyAlignment="1">
      <alignment vertical="top" wrapText="1"/>
    </xf>
    <xf numFmtId="170" fontId="55" fillId="33" borderId="11" xfId="0" applyNumberFormat="1" applyFont="1" applyFill="1" applyBorder="1" applyAlignment="1">
      <alignment horizontal="center" vertical="center" wrapText="1"/>
    </xf>
    <xf numFmtId="170" fontId="56" fillId="0" borderId="12" xfId="0" applyNumberFormat="1" applyFont="1" applyBorder="1" applyAlignment="1">
      <alignment horizontal="center" vertical="center" wrapText="1" readingOrder="1"/>
    </xf>
    <xf numFmtId="170" fontId="56" fillId="0" borderId="29" xfId="0" applyNumberFormat="1" applyFont="1" applyBorder="1" applyAlignment="1">
      <alignment horizontal="center" vertical="center" wrapText="1" readingOrder="1"/>
    </xf>
    <xf numFmtId="170" fontId="56" fillId="0" borderId="16" xfId="0" applyNumberFormat="1" applyFont="1" applyBorder="1" applyAlignment="1">
      <alignment horizontal="center" vertical="center" wrapText="1" readingOrder="1"/>
    </xf>
    <xf numFmtId="0" fontId="55" fillId="0" borderId="12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top" wrapText="1" readingOrder="1"/>
    </xf>
    <xf numFmtId="170" fontId="55" fillId="0" borderId="11" xfId="0" applyNumberFormat="1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top" wrapText="1"/>
    </xf>
    <xf numFmtId="49" fontId="55" fillId="0" borderId="11" xfId="0" applyNumberFormat="1" applyFont="1" applyBorder="1" applyAlignment="1">
      <alignment horizontal="center" vertical="center" wrapText="1" readingOrder="1"/>
    </xf>
    <xf numFmtId="0" fontId="55" fillId="0" borderId="11" xfId="0" applyFont="1" applyBorder="1" applyAlignment="1">
      <alignment horizontal="center" vertical="center" wrapText="1"/>
    </xf>
    <xf numFmtId="170" fontId="55" fillId="0" borderId="12" xfId="0" applyNumberFormat="1" applyFont="1" applyBorder="1" applyAlignment="1">
      <alignment horizontal="center" vertical="center" wrapText="1" readingOrder="1"/>
    </xf>
    <xf numFmtId="170" fontId="55" fillId="0" borderId="16" xfId="0" applyNumberFormat="1" applyFont="1" applyBorder="1" applyAlignment="1">
      <alignment horizontal="center" vertical="center" wrapText="1" readingOrder="1"/>
    </xf>
    <xf numFmtId="170" fontId="55" fillId="0" borderId="11" xfId="0" applyNumberFormat="1" applyFont="1" applyBorder="1" applyAlignment="1">
      <alignment horizontal="center" vertical="center" wrapText="1" readingOrder="1"/>
    </xf>
    <xf numFmtId="170" fontId="55" fillId="0" borderId="29" xfId="0" applyNumberFormat="1" applyFont="1" applyBorder="1" applyAlignment="1">
      <alignment horizontal="center" vertical="center" wrapText="1" readingOrder="1"/>
    </xf>
    <xf numFmtId="49" fontId="55" fillId="0" borderId="12" xfId="0" applyNumberFormat="1" applyFont="1" applyBorder="1" applyAlignment="1">
      <alignment horizontal="center" vertical="center" wrapText="1" readingOrder="1"/>
    </xf>
    <xf numFmtId="170" fontId="55" fillId="0" borderId="12" xfId="0" applyNumberFormat="1" applyFont="1" applyBorder="1" applyAlignment="1">
      <alignment horizontal="center" vertical="center" wrapText="1"/>
    </xf>
    <xf numFmtId="170" fontId="56" fillId="0" borderId="11" xfId="0" applyNumberFormat="1" applyFont="1" applyBorder="1" applyAlignment="1">
      <alignment horizontal="center" vertical="center" wrapText="1"/>
    </xf>
    <xf numFmtId="49" fontId="55" fillId="0" borderId="12" xfId="0" applyNumberFormat="1" applyFont="1" applyBorder="1" applyAlignment="1">
      <alignment horizontal="center" vertical="top" wrapText="1" readingOrder="1"/>
    </xf>
    <xf numFmtId="0" fontId="0" fillId="0" borderId="29" xfId="0" applyBorder="1" applyAlignment="1">
      <alignment horizontal="center" vertical="top" wrapText="1" readingOrder="1"/>
    </xf>
    <xf numFmtId="0" fontId="55" fillId="0" borderId="29" xfId="0" applyFont="1" applyBorder="1" applyAlignment="1">
      <alignment horizontal="center" vertical="center" wrapText="1"/>
    </xf>
    <xf numFmtId="170" fontId="55" fillId="33" borderId="12" xfId="0" applyNumberFormat="1" applyFont="1" applyFill="1" applyBorder="1" applyAlignment="1">
      <alignment horizontal="center" vertical="center" wrapText="1"/>
    </xf>
    <xf numFmtId="170" fontId="55" fillId="0" borderId="29" xfId="0" applyNumberFormat="1" applyFont="1" applyBorder="1" applyAlignment="1">
      <alignment horizontal="center" vertical="center" wrapText="1"/>
    </xf>
    <xf numFmtId="9" fontId="55" fillId="0" borderId="11" xfId="0" applyNumberFormat="1" applyFont="1" applyBorder="1" applyAlignment="1">
      <alignment horizontal="center" vertical="center" wrapText="1" readingOrder="1"/>
    </xf>
    <xf numFmtId="0" fontId="56" fillId="0" borderId="11" xfId="0" applyFont="1" applyBorder="1" applyAlignment="1">
      <alignment vertical="top" wrapText="1"/>
    </xf>
    <xf numFmtId="0" fontId="55" fillId="0" borderId="40" xfId="0" applyFont="1" applyBorder="1" applyAlignment="1">
      <alignment horizontal="center" vertical="center" wrapText="1"/>
    </xf>
    <xf numFmtId="49" fontId="55" fillId="0" borderId="11" xfId="0" applyNumberFormat="1" applyFont="1" applyBorder="1" applyAlignment="1">
      <alignment horizontal="left" vertical="center" wrapText="1" readingOrder="1"/>
    </xf>
    <xf numFmtId="0" fontId="55" fillId="0" borderId="16" xfId="0" applyFont="1" applyBorder="1" applyAlignment="1">
      <alignment horizontal="center" vertical="center" wrapText="1"/>
    </xf>
    <xf numFmtId="49" fontId="55" fillId="0" borderId="11" xfId="0" applyNumberFormat="1" applyFont="1" applyBorder="1" applyAlignment="1">
      <alignment horizontal="center" vertical="top" wrapText="1" readingOrder="1"/>
    </xf>
    <xf numFmtId="170" fontId="56" fillId="0" borderId="11" xfId="0" applyNumberFormat="1" applyFont="1" applyBorder="1" applyAlignment="1">
      <alignment horizontal="center" vertical="center" wrapText="1" readingOrder="1"/>
    </xf>
    <xf numFmtId="0" fontId="55" fillId="0" borderId="11" xfId="0" applyFont="1" applyBorder="1" applyAlignment="1">
      <alignment vertical="top" wrapText="1"/>
    </xf>
    <xf numFmtId="170" fontId="56" fillId="0" borderId="12" xfId="0" applyNumberFormat="1" applyFont="1" applyBorder="1" applyAlignment="1">
      <alignment horizontal="center" vertical="center" wrapText="1"/>
    </xf>
    <xf numFmtId="49" fontId="55" fillId="0" borderId="11" xfId="0" applyNumberFormat="1" applyFont="1" applyBorder="1" applyAlignment="1">
      <alignment horizontal="left" vertical="top" wrapText="1" readingOrder="1"/>
    </xf>
    <xf numFmtId="170" fontId="55" fillId="33" borderId="29" xfId="0" applyNumberFormat="1" applyFont="1" applyFill="1" applyBorder="1" applyAlignment="1">
      <alignment horizontal="center" vertical="center" wrapText="1"/>
    </xf>
    <xf numFmtId="170" fontId="55" fillId="33" borderId="12" xfId="0" applyNumberFormat="1" applyFont="1" applyFill="1" applyBorder="1" applyAlignment="1">
      <alignment horizontal="center" vertical="center" wrapText="1" readingOrder="1"/>
    </xf>
    <xf numFmtId="0" fontId="55" fillId="0" borderId="12" xfId="0" applyFont="1" applyBorder="1" applyAlignment="1">
      <alignment horizontal="left" vertical="center" wrapText="1" readingOrder="1"/>
    </xf>
    <xf numFmtId="0" fontId="55" fillId="0" borderId="16" xfId="0" applyFont="1" applyBorder="1" applyAlignment="1">
      <alignment horizontal="center" vertical="top" wrapText="1"/>
    </xf>
    <xf numFmtId="0" fontId="55" fillId="0" borderId="11" xfId="0" applyFont="1" applyBorder="1" applyAlignment="1">
      <alignment horizontal="center" vertical="center" wrapText="1" readingOrder="1"/>
    </xf>
    <xf numFmtId="0" fontId="55" fillId="0" borderId="15" xfId="0" applyFont="1" applyBorder="1" applyAlignment="1">
      <alignment horizontal="center" vertical="top" wrapText="1"/>
    </xf>
    <xf numFmtId="170" fontId="55" fillId="34" borderId="11" xfId="0" applyNumberFormat="1" applyFont="1" applyFill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top" wrapText="1"/>
    </xf>
    <xf numFmtId="0" fontId="55" fillId="0" borderId="12" xfId="0" applyFont="1" applyBorder="1" applyAlignment="1">
      <alignment horizontal="center" vertical="top" wrapText="1"/>
    </xf>
    <xf numFmtId="0" fontId="55" fillId="0" borderId="11" xfId="0" applyFont="1" applyBorder="1" applyAlignment="1">
      <alignment vertical="top" wrapText="1"/>
    </xf>
    <xf numFmtId="0" fontId="53" fillId="0" borderId="0" xfId="0" applyFont="1" applyAlignment="1">
      <alignment horizontal="right"/>
    </xf>
    <xf numFmtId="0" fontId="55" fillId="0" borderId="11" xfId="0" applyFont="1" applyBorder="1" applyAlignment="1">
      <alignment vertical="top" wrapText="1" readingOrder="1"/>
    </xf>
    <xf numFmtId="0" fontId="55" fillId="0" borderId="11" xfId="0" applyFont="1" applyBorder="1" applyAlignment="1">
      <alignment horizontal="center" vertical="top" readingOrder="1"/>
    </xf>
    <xf numFmtId="0" fontId="57" fillId="0" borderId="31" xfId="0" applyFont="1" applyBorder="1" applyAlignment="1">
      <alignment horizontal="center" vertical="top" readingOrder="1"/>
    </xf>
    <xf numFmtId="170" fontId="56" fillId="0" borderId="41" xfId="0" applyNumberFormat="1" applyFont="1" applyBorder="1" applyAlignment="1">
      <alignment horizontal="center" vertical="top" wrapText="1" readingOrder="1"/>
    </xf>
    <xf numFmtId="0" fontId="55" fillId="0" borderId="33" xfId="0" applyFont="1" applyBorder="1" applyAlignment="1">
      <alignment vertical="top" wrapText="1" readingOrder="1"/>
    </xf>
    <xf numFmtId="0" fontId="55" fillId="0" borderId="11" xfId="0" applyFont="1" applyBorder="1" applyAlignment="1">
      <alignment vertical="top" readingOrder="1"/>
    </xf>
    <xf numFmtId="0" fontId="57" fillId="0" borderId="11" xfId="0" applyFont="1" applyBorder="1" applyAlignment="1">
      <alignment vertical="top" wrapText="1" readingOrder="1"/>
    </xf>
    <xf numFmtId="0" fontId="55" fillId="0" borderId="42" xfId="0" applyFont="1" applyBorder="1" applyAlignment="1">
      <alignment horizontal="center" vertical="top" readingOrder="1"/>
    </xf>
    <xf numFmtId="170" fontId="56" fillId="0" borderId="41" xfId="0" applyNumberFormat="1" applyFont="1" applyBorder="1" applyAlignment="1">
      <alignment horizontal="center" vertical="top" readingOrder="1"/>
    </xf>
    <xf numFmtId="0" fontId="55" fillId="0" borderId="11" xfId="0" applyFont="1" applyBorder="1" applyAlignment="1">
      <alignment readingOrder="1"/>
    </xf>
    <xf numFmtId="16" fontId="55" fillId="0" borderId="42" xfId="0" applyNumberFormat="1" applyFont="1" applyBorder="1" applyAlignment="1">
      <alignment horizontal="center" vertical="top" readingOrder="1"/>
    </xf>
    <xf numFmtId="0" fontId="55" fillId="0" borderId="33" xfId="0" applyFont="1" applyBorder="1" applyAlignment="1">
      <alignment wrapText="1" readingOrder="1"/>
    </xf>
    <xf numFmtId="16" fontId="55" fillId="0" borderId="11" xfId="0" applyNumberFormat="1" applyFont="1" applyBorder="1" applyAlignment="1">
      <alignment horizontal="center" vertical="top" readingOrder="1"/>
    </xf>
    <xf numFmtId="0" fontId="55" fillId="0" borderId="11" xfId="0" applyFont="1" applyBorder="1" applyAlignment="1">
      <alignment horizontal="center" vertical="center" readingOrder="1"/>
    </xf>
    <xf numFmtId="0" fontId="55" fillId="0" borderId="16" xfId="0" applyFont="1" applyBorder="1" applyAlignment="1">
      <alignment horizontal="center" vertical="top" readingOrder="1"/>
    </xf>
    <xf numFmtId="0" fontId="55" fillId="0" borderId="29" xfId="0" applyFont="1" applyBorder="1" applyAlignment="1">
      <alignment horizontal="center" vertical="top" readingOrder="1"/>
    </xf>
    <xf numFmtId="0" fontId="55" fillId="0" borderId="33" xfId="0" applyFont="1" applyBorder="1" applyAlignment="1">
      <alignment vertical="top" wrapText="1"/>
    </xf>
    <xf numFmtId="170" fontId="56" fillId="0" borderId="43" xfId="0" applyNumberFormat="1" applyFont="1" applyBorder="1" applyAlignment="1">
      <alignment horizontal="center" vertical="top" readingOrder="1"/>
    </xf>
    <xf numFmtId="0" fontId="55" fillId="0" borderId="30" xfId="0" applyFont="1" applyBorder="1" applyAlignment="1">
      <alignment vertical="top" wrapText="1" readingOrder="1"/>
    </xf>
    <xf numFmtId="0" fontId="55" fillId="0" borderId="16" xfId="0" applyFont="1" applyBorder="1" applyAlignment="1">
      <alignment readingOrder="1"/>
    </xf>
    <xf numFmtId="0" fontId="57" fillId="0" borderId="16" xfId="0" applyFont="1" applyBorder="1" applyAlignment="1">
      <alignment vertical="top" wrapText="1" readingOrder="1"/>
    </xf>
    <xf numFmtId="0" fontId="55" fillId="0" borderId="11" xfId="0" applyFont="1" applyBorder="1" applyAlignment="1">
      <alignment horizontal="center" readingOrder="1"/>
    </xf>
    <xf numFmtId="170" fontId="52" fillId="0" borderId="0" xfId="0" applyNumberFormat="1" applyFont="1" applyAlignment="1">
      <alignment horizontal="center" readingOrder="1"/>
    </xf>
    <xf numFmtId="170" fontId="55" fillId="33" borderId="11" xfId="0" applyNumberFormat="1" applyFont="1" applyFill="1" applyBorder="1" applyAlignment="1">
      <alignment horizontal="center" vertical="center" wrapText="1"/>
    </xf>
    <xf numFmtId="170" fontId="56" fillId="0" borderId="12" xfId="0" applyNumberFormat="1" applyFont="1" applyBorder="1" applyAlignment="1">
      <alignment horizontal="center" vertical="center" wrapText="1" readingOrder="1"/>
    </xf>
    <xf numFmtId="170" fontId="56" fillId="0" borderId="29" xfId="0" applyNumberFormat="1" applyFont="1" applyBorder="1" applyAlignment="1">
      <alignment horizontal="center" vertical="center" wrapText="1" readingOrder="1"/>
    </xf>
    <xf numFmtId="170" fontId="56" fillId="0" borderId="16" xfId="0" applyNumberFormat="1" applyFont="1" applyBorder="1" applyAlignment="1">
      <alignment horizontal="center" vertical="center" wrapText="1" readingOrder="1"/>
    </xf>
    <xf numFmtId="0" fontId="55" fillId="0" borderId="12" xfId="0" applyFont="1" applyBorder="1" applyAlignment="1">
      <alignment horizontal="center" vertical="center" wrapText="1"/>
    </xf>
    <xf numFmtId="170" fontId="55" fillId="0" borderId="11" xfId="0" applyNumberFormat="1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top" wrapText="1"/>
    </xf>
    <xf numFmtId="49" fontId="55" fillId="0" borderId="11" xfId="0" applyNumberFormat="1" applyFont="1" applyBorder="1" applyAlignment="1">
      <alignment horizontal="center" vertical="center" wrapText="1" readingOrder="1"/>
    </xf>
    <xf numFmtId="0" fontId="55" fillId="0" borderId="11" xfId="0" applyFont="1" applyBorder="1" applyAlignment="1">
      <alignment horizontal="center" vertical="center" wrapText="1"/>
    </xf>
    <xf numFmtId="170" fontId="55" fillId="0" borderId="12" xfId="0" applyNumberFormat="1" applyFont="1" applyBorder="1" applyAlignment="1">
      <alignment horizontal="center" vertical="center" wrapText="1" readingOrder="1"/>
    </xf>
    <xf numFmtId="170" fontId="55" fillId="0" borderId="16" xfId="0" applyNumberFormat="1" applyFont="1" applyBorder="1" applyAlignment="1">
      <alignment horizontal="center" vertical="center" wrapText="1" readingOrder="1"/>
    </xf>
    <xf numFmtId="170" fontId="55" fillId="0" borderId="11" xfId="0" applyNumberFormat="1" applyFont="1" applyBorder="1" applyAlignment="1">
      <alignment horizontal="center" vertical="center" wrapText="1" readingOrder="1"/>
    </xf>
    <xf numFmtId="170" fontId="55" fillId="0" borderId="29" xfId="0" applyNumberFormat="1" applyFont="1" applyBorder="1" applyAlignment="1">
      <alignment horizontal="center" vertical="center" wrapText="1" readingOrder="1"/>
    </xf>
    <xf numFmtId="49" fontId="55" fillId="0" borderId="12" xfId="0" applyNumberFormat="1" applyFont="1" applyBorder="1" applyAlignment="1">
      <alignment horizontal="center" vertical="center" wrapText="1" readingOrder="1"/>
    </xf>
    <xf numFmtId="170" fontId="55" fillId="0" borderId="12" xfId="0" applyNumberFormat="1" applyFont="1" applyBorder="1" applyAlignment="1">
      <alignment horizontal="center" vertical="center" wrapText="1"/>
    </xf>
    <xf numFmtId="170" fontId="56" fillId="0" borderId="11" xfId="0" applyNumberFormat="1" applyFont="1" applyBorder="1" applyAlignment="1">
      <alignment horizontal="center" vertical="center" wrapText="1"/>
    </xf>
    <xf numFmtId="49" fontId="55" fillId="0" borderId="12" xfId="0" applyNumberFormat="1" applyFont="1" applyBorder="1" applyAlignment="1">
      <alignment horizontal="center" vertical="top" wrapText="1" readingOrder="1"/>
    </xf>
    <xf numFmtId="0" fontId="0" fillId="0" borderId="29" xfId="0" applyBorder="1" applyAlignment="1">
      <alignment horizontal="center" vertical="top" wrapText="1" readingOrder="1"/>
    </xf>
    <xf numFmtId="0" fontId="55" fillId="0" borderId="29" xfId="0" applyFont="1" applyBorder="1" applyAlignment="1">
      <alignment horizontal="center" vertical="center" wrapText="1"/>
    </xf>
    <xf numFmtId="170" fontId="55" fillId="0" borderId="29" xfId="0" applyNumberFormat="1" applyFont="1" applyBorder="1" applyAlignment="1">
      <alignment horizontal="center" vertical="center" wrapText="1"/>
    </xf>
    <xf numFmtId="170" fontId="55" fillId="33" borderId="12" xfId="0" applyNumberFormat="1" applyFont="1" applyFill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top" wrapText="1"/>
    </xf>
    <xf numFmtId="0" fontId="55" fillId="0" borderId="16" xfId="0" applyFont="1" applyBorder="1" applyAlignment="1">
      <alignment horizontal="center" vertical="center" wrapText="1"/>
    </xf>
    <xf numFmtId="9" fontId="55" fillId="0" borderId="11" xfId="0" applyNumberFormat="1" applyFont="1" applyBorder="1" applyAlignment="1">
      <alignment horizontal="center" vertical="center" wrapText="1" readingOrder="1"/>
    </xf>
    <xf numFmtId="0" fontId="56" fillId="0" borderId="11" xfId="0" applyFont="1" applyBorder="1" applyAlignment="1">
      <alignment vertical="top" wrapText="1"/>
    </xf>
    <xf numFmtId="49" fontId="55" fillId="0" borderId="11" xfId="0" applyNumberFormat="1" applyFont="1" applyBorder="1" applyAlignment="1">
      <alignment horizontal="left" vertical="center" wrapText="1" readingOrder="1"/>
    </xf>
    <xf numFmtId="170" fontId="56" fillId="0" borderId="11" xfId="0" applyNumberFormat="1" applyFont="1" applyBorder="1" applyAlignment="1">
      <alignment horizontal="center" vertical="center" wrapText="1" readingOrder="1"/>
    </xf>
    <xf numFmtId="170" fontId="55" fillId="34" borderId="16" xfId="0" applyNumberFormat="1" applyFont="1" applyFill="1" applyBorder="1" applyAlignment="1">
      <alignment horizontal="center" vertical="center" wrapText="1" readingOrder="1"/>
    </xf>
    <xf numFmtId="49" fontId="55" fillId="0" borderId="11" xfId="0" applyNumberFormat="1" applyFont="1" applyBorder="1" applyAlignment="1">
      <alignment horizontal="center" vertical="top" wrapText="1" readingOrder="1"/>
    </xf>
    <xf numFmtId="0" fontId="55" fillId="0" borderId="11" xfId="0" applyFont="1" applyBorder="1" applyAlignment="1">
      <alignment vertical="top" wrapText="1"/>
    </xf>
    <xf numFmtId="170" fontId="56" fillId="0" borderId="12" xfId="0" applyNumberFormat="1" applyFont="1" applyBorder="1" applyAlignment="1">
      <alignment horizontal="center" vertical="center" wrapText="1"/>
    </xf>
    <xf numFmtId="49" fontId="55" fillId="0" borderId="11" xfId="0" applyNumberFormat="1" applyFont="1" applyBorder="1" applyAlignment="1">
      <alignment horizontal="left" vertical="top" wrapText="1" readingOrder="1"/>
    </xf>
    <xf numFmtId="170" fontId="55" fillId="33" borderId="29" xfId="0" applyNumberFormat="1" applyFont="1" applyFill="1" applyBorder="1" applyAlignment="1">
      <alignment horizontal="center" vertical="center" wrapText="1"/>
    </xf>
    <xf numFmtId="170" fontId="55" fillId="33" borderId="12" xfId="0" applyNumberFormat="1" applyFont="1" applyFill="1" applyBorder="1" applyAlignment="1">
      <alignment horizontal="center" vertical="center" wrapText="1" readingOrder="1"/>
    </xf>
    <xf numFmtId="0" fontId="55" fillId="0" borderId="12" xfId="0" applyFont="1" applyBorder="1" applyAlignment="1">
      <alignment horizontal="left" vertical="center" wrapText="1" readingOrder="1"/>
    </xf>
    <xf numFmtId="0" fontId="55" fillId="0" borderId="11" xfId="0" applyFont="1" applyBorder="1" applyAlignment="1">
      <alignment horizontal="center" vertical="top" wrapText="1" readingOrder="1"/>
    </xf>
    <xf numFmtId="0" fontId="55" fillId="0" borderId="16" xfId="0" applyFont="1" applyBorder="1" applyAlignment="1">
      <alignment horizontal="center" vertical="top" wrapText="1"/>
    </xf>
    <xf numFmtId="0" fontId="55" fillId="0" borderId="11" xfId="0" applyFont="1" applyBorder="1" applyAlignment="1">
      <alignment horizontal="center" vertical="center" wrapText="1" readingOrder="1"/>
    </xf>
    <xf numFmtId="0" fontId="55" fillId="0" borderId="15" xfId="0" applyFont="1" applyBorder="1" applyAlignment="1">
      <alignment horizontal="center" vertical="top" wrapText="1"/>
    </xf>
    <xf numFmtId="170" fontId="55" fillId="34" borderId="11" xfId="0" applyNumberFormat="1" applyFont="1" applyFill="1" applyBorder="1" applyAlignment="1">
      <alignment horizontal="center" vertical="center" wrapText="1" readingOrder="1"/>
    </xf>
    <xf numFmtId="170" fontId="55" fillId="34" borderId="11" xfId="0" applyNumberFormat="1" applyFont="1" applyFill="1" applyBorder="1" applyAlignment="1">
      <alignment horizontal="center" vertical="top" wrapText="1"/>
    </xf>
    <xf numFmtId="170" fontId="55" fillId="34" borderId="23" xfId="0" applyNumberFormat="1" applyFont="1" applyFill="1" applyBorder="1" applyAlignment="1">
      <alignment horizontal="center" vertical="top" wrapText="1"/>
    </xf>
    <xf numFmtId="170" fontId="55" fillId="34" borderId="24" xfId="0" applyNumberFormat="1" applyFont="1" applyFill="1" applyBorder="1" applyAlignment="1">
      <alignment horizontal="center" vertical="top" wrapText="1"/>
    </xf>
    <xf numFmtId="0" fontId="53" fillId="0" borderId="0" xfId="0" applyFont="1" applyAlignment="1">
      <alignment horizontal="center" vertical="top" wrapText="1" readingOrder="1"/>
    </xf>
    <xf numFmtId="0" fontId="52" fillId="0" borderId="0" xfId="0" applyFont="1" applyAlignment="1">
      <alignment horizontal="center" wrapText="1" readingOrder="1"/>
    </xf>
    <xf numFmtId="1" fontId="55" fillId="0" borderId="11" xfId="0" applyNumberFormat="1" applyFont="1" applyBorder="1" applyAlignment="1">
      <alignment horizontal="center" vertical="center" wrapText="1" readingOrder="1"/>
    </xf>
    <xf numFmtId="0" fontId="56" fillId="0" borderId="11" xfId="0" applyFont="1" applyBorder="1" applyAlignment="1">
      <alignment horizontal="center" vertical="top" readingOrder="1"/>
    </xf>
    <xf numFmtId="0" fontId="55" fillId="0" borderId="11" xfId="0" applyFont="1" applyBorder="1" applyAlignment="1">
      <alignment vertical="center" wrapText="1" readingOrder="1"/>
    </xf>
    <xf numFmtId="0" fontId="56" fillId="0" borderId="17" xfId="0" applyFont="1" applyBorder="1" applyAlignment="1">
      <alignment vertical="top" wrapText="1"/>
    </xf>
    <xf numFmtId="0" fontId="56" fillId="0" borderId="18" xfId="0" applyFont="1" applyBorder="1" applyAlignment="1">
      <alignment vertical="top" wrapText="1"/>
    </xf>
    <xf numFmtId="0" fontId="55" fillId="0" borderId="19" xfId="0" applyFont="1" applyBorder="1" applyAlignment="1">
      <alignment vertical="top" wrapText="1"/>
    </xf>
    <xf numFmtId="0" fontId="56" fillId="33" borderId="17" xfId="0" applyFont="1" applyFill="1" applyBorder="1" applyAlignment="1">
      <alignment horizontal="left" vertical="top" wrapText="1"/>
    </xf>
    <xf numFmtId="0" fontId="52" fillId="0" borderId="0" xfId="0" applyFont="1" applyAlignment="1">
      <alignment horizontal="left" wrapText="1" readingOrder="1"/>
    </xf>
    <xf numFmtId="0" fontId="56" fillId="33" borderId="18" xfId="0" applyFont="1" applyFill="1" applyBorder="1" applyAlignment="1">
      <alignment horizontal="left" vertical="top" wrapText="1"/>
    </xf>
    <xf numFmtId="0" fontId="56" fillId="0" borderId="11" xfId="0" applyFont="1" applyBorder="1" applyAlignment="1">
      <alignment vertical="top" wrapText="1"/>
    </xf>
    <xf numFmtId="170" fontId="56" fillId="34" borderId="11" xfId="0" applyNumberFormat="1" applyFont="1" applyFill="1" applyBorder="1" applyAlignment="1">
      <alignment horizontal="center" vertical="center" wrapText="1"/>
    </xf>
    <xf numFmtId="0" fontId="55" fillId="0" borderId="11" xfId="0" applyFont="1" applyBorder="1" applyAlignment="1">
      <alignment vertical="top" wrapText="1"/>
    </xf>
    <xf numFmtId="170" fontId="55" fillId="0" borderId="11" xfId="0" applyNumberFormat="1" applyFont="1" applyBorder="1" applyAlignment="1">
      <alignment horizontal="center" vertical="top" wrapText="1"/>
    </xf>
    <xf numFmtId="0" fontId="55" fillId="0" borderId="11" xfId="0" applyFont="1" applyBorder="1" applyAlignment="1">
      <alignment horizontal="left" vertical="top" wrapText="1" readingOrder="1"/>
    </xf>
    <xf numFmtId="170" fontId="56" fillId="33" borderId="22" xfId="0" applyNumberFormat="1" applyFont="1" applyFill="1" applyBorder="1" applyAlignment="1">
      <alignment horizontal="center" vertical="center" wrapText="1"/>
    </xf>
    <xf numFmtId="170" fontId="56" fillId="33" borderId="11" xfId="0" applyNumberFormat="1" applyFont="1" applyFill="1" applyBorder="1" applyAlignment="1">
      <alignment horizontal="center" vertical="center" wrapText="1"/>
    </xf>
    <xf numFmtId="170" fontId="56" fillId="0" borderId="11" xfId="0" applyNumberFormat="1" applyFont="1" applyBorder="1" applyAlignment="1">
      <alignment horizontal="center" vertical="top" wrapText="1"/>
    </xf>
    <xf numFmtId="170" fontId="56" fillId="0" borderId="22" xfId="0" applyNumberFormat="1" applyFont="1" applyBorder="1" applyAlignment="1">
      <alignment horizontal="center" vertical="top" wrapText="1"/>
    </xf>
    <xf numFmtId="0" fontId="55" fillId="0" borderId="11" xfId="0" applyFont="1" applyBorder="1" applyAlignment="1">
      <alignment horizontal="center" vertical="top" readingOrder="1"/>
    </xf>
    <xf numFmtId="170" fontId="55" fillId="33" borderId="11" xfId="0" applyNumberFormat="1" applyFont="1" applyFill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170" fontId="55" fillId="0" borderId="11" xfId="0" applyNumberFormat="1" applyFont="1" applyBorder="1" applyAlignment="1">
      <alignment horizontal="center" vertical="center" wrapText="1" readingOrder="1"/>
    </xf>
    <xf numFmtId="170" fontId="56" fillId="0" borderId="11" xfId="0" applyNumberFormat="1" applyFont="1" applyBorder="1" applyAlignment="1">
      <alignment horizontal="center" vertical="center" wrapText="1"/>
    </xf>
    <xf numFmtId="170" fontId="55" fillId="0" borderId="12" xfId="0" applyNumberFormat="1" applyFont="1" applyBorder="1" applyAlignment="1">
      <alignment horizontal="center" vertical="center" wrapText="1" readingOrder="1"/>
    </xf>
    <xf numFmtId="170" fontId="55" fillId="0" borderId="11" xfId="0" applyNumberFormat="1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 wrapText="1"/>
    </xf>
    <xf numFmtId="170" fontId="55" fillId="0" borderId="29" xfId="0" applyNumberFormat="1" applyFont="1" applyBorder="1" applyAlignment="1">
      <alignment horizontal="center" vertical="center" wrapText="1" readingOrder="1"/>
    </xf>
    <xf numFmtId="170" fontId="55" fillId="0" borderId="12" xfId="0" applyNumberFormat="1" applyFont="1" applyBorder="1" applyAlignment="1">
      <alignment horizontal="center" vertical="center" wrapText="1"/>
    </xf>
    <xf numFmtId="170" fontId="56" fillId="0" borderId="12" xfId="0" applyNumberFormat="1" applyFont="1" applyBorder="1" applyAlignment="1">
      <alignment horizontal="center" vertical="center" wrapText="1" readingOrder="1"/>
    </xf>
    <xf numFmtId="170" fontId="56" fillId="0" borderId="29" xfId="0" applyNumberFormat="1" applyFont="1" applyBorder="1" applyAlignment="1">
      <alignment horizontal="center" vertical="center" wrapText="1" readingOrder="1"/>
    </xf>
    <xf numFmtId="170" fontId="55" fillId="34" borderId="11" xfId="0" applyNumberFormat="1" applyFont="1" applyFill="1" applyBorder="1" applyAlignment="1">
      <alignment horizontal="center" vertical="center" wrapText="1"/>
    </xf>
    <xf numFmtId="170" fontId="56" fillId="0" borderId="12" xfId="0" applyNumberFormat="1" applyFont="1" applyBorder="1" applyAlignment="1">
      <alignment horizontal="center" vertical="center" wrapText="1"/>
    </xf>
    <xf numFmtId="170" fontId="56" fillId="34" borderId="11" xfId="0" applyNumberFormat="1" applyFont="1" applyFill="1" applyBorder="1" applyAlignment="1">
      <alignment horizontal="center" vertical="center" wrapText="1"/>
    </xf>
    <xf numFmtId="170" fontId="56" fillId="0" borderId="11" xfId="0" applyNumberFormat="1" applyFont="1" applyBorder="1" applyAlignment="1">
      <alignment horizontal="center" vertical="center" wrapText="1" readingOrder="1"/>
    </xf>
    <xf numFmtId="170" fontId="56" fillId="0" borderId="22" xfId="0" applyNumberFormat="1" applyFont="1" applyBorder="1" applyAlignment="1">
      <alignment horizontal="center" vertical="center" wrapText="1"/>
    </xf>
    <xf numFmtId="170" fontId="55" fillId="0" borderId="11" xfId="0" applyNumberFormat="1" applyFont="1" applyBorder="1" applyAlignment="1">
      <alignment horizontal="center" vertical="top" wrapText="1"/>
    </xf>
    <xf numFmtId="49" fontId="56" fillId="0" borderId="11" xfId="0" applyNumberFormat="1" applyFont="1" applyBorder="1" applyAlignment="1">
      <alignment horizontal="left" vertical="top" wrapText="1"/>
    </xf>
    <xf numFmtId="170" fontId="56" fillId="0" borderId="44" xfId="0" applyNumberFormat="1" applyFont="1" applyBorder="1" applyAlignment="1">
      <alignment horizontal="center" vertical="top" wrapText="1"/>
    </xf>
    <xf numFmtId="170" fontId="56" fillId="0" borderId="45" xfId="0" applyNumberFormat="1" applyFont="1" applyBorder="1" applyAlignment="1">
      <alignment horizontal="center" vertical="top" wrapText="1"/>
    </xf>
    <xf numFmtId="0" fontId="56" fillId="0" borderId="12" xfId="0" applyFont="1" applyBorder="1" applyAlignment="1">
      <alignment vertical="top" wrapText="1"/>
    </xf>
    <xf numFmtId="170" fontId="56" fillId="33" borderId="11" xfId="0" applyNumberFormat="1" applyFont="1" applyFill="1" applyBorder="1" applyAlignment="1">
      <alignment horizontal="center" vertical="center" wrapText="1"/>
    </xf>
    <xf numFmtId="0" fontId="55" fillId="0" borderId="18" xfId="0" applyFont="1" applyBorder="1" applyAlignment="1">
      <alignment vertical="top" wrapText="1"/>
    </xf>
    <xf numFmtId="0" fontId="55" fillId="0" borderId="36" xfId="0" applyFont="1" applyBorder="1" applyAlignment="1">
      <alignment vertical="top" wrapText="1"/>
    </xf>
    <xf numFmtId="170" fontId="55" fillId="0" borderId="46" xfId="0" applyNumberFormat="1" applyFont="1" applyBorder="1" applyAlignment="1">
      <alignment horizontal="center" vertical="top" wrapText="1"/>
    </xf>
    <xf numFmtId="0" fontId="56" fillId="33" borderId="19" xfId="0" applyFont="1" applyFill="1" applyBorder="1" applyAlignment="1">
      <alignment horizontal="left" vertical="top" wrapText="1"/>
    </xf>
    <xf numFmtId="170" fontId="56" fillId="33" borderId="23" xfId="0" applyNumberFormat="1" applyFont="1" applyFill="1" applyBorder="1" applyAlignment="1">
      <alignment horizontal="center" vertical="center" wrapText="1"/>
    </xf>
    <xf numFmtId="170" fontId="56" fillId="33" borderId="24" xfId="0" applyNumberFormat="1" applyFont="1" applyFill="1" applyBorder="1" applyAlignment="1">
      <alignment horizontal="center" vertical="center" wrapText="1"/>
    </xf>
    <xf numFmtId="0" fontId="57" fillId="0" borderId="42" xfId="0" applyFont="1" applyBorder="1" applyAlignment="1">
      <alignment horizontal="center" vertical="top" readingOrder="1"/>
    </xf>
    <xf numFmtId="170" fontId="56" fillId="0" borderId="43" xfId="0" applyNumberFormat="1" applyFont="1" applyBorder="1" applyAlignment="1">
      <alignment horizontal="center" vertical="top" wrapText="1" readingOrder="1"/>
    </xf>
    <xf numFmtId="0" fontId="56" fillId="0" borderId="47" xfId="0" applyFont="1" applyBorder="1" applyAlignment="1">
      <alignment horizontal="center" vertical="top" wrapText="1" readingOrder="1"/>
    </xf>
    <xf numFmtId="0" fontId="56" fillId="0" borderId="42" xfId="0" applyFont="1" applyBorder="1" applyAlignment="1">
      <alignment horizontal="center" vertical="top" readingOrder="1"/>
    </xf>
    <xf numFmtId="0" fontId="57" fillId="0" borderId="42" xfId="0" applyFont="1" applyBorder="1" applyAlignment="1">
      <alignment vertical="top" readingOrder="1"/>
    </xf>
    <xf numFmtId="0" fontId="55" fillId="0" borderId="32" xfId="0" applyFont="1" applyBorder="1" applyAlignment="1">
      <alignment vertical="top" wrapText="1"/>
    </xf>
    <xf numFmtId="0" fontId="57" fillId="0" borderId="12" xfId="0" applyFont="1" applyBorder="1" applyAlignment="1">
      <alignment horizontal="center" vertical="top" readingOrder="1"/>
    </xf>
    <xf numFmtId="0" fontId="56" fillId="0" borderId="17" xfId="0" applyFont="1" applyBorder="1" applyAlignment="1">
      <alignment horizontal="center" vertical="top" wrapText="1"/>
    </xf>
    <xf numFmtId="0" fontId="56" fillId="0" borderId="18" xfId="0" applyFont="1" applyBorder="1" applyAlignment="1">
      <alignment horizontal="center" vertical="top" wrapText="1"/>
    </xf>
    <xf numFmtId="0" fontId="56" fillId="0" borderId="19" xfId="0" applyFont="1" applyBorder="1" applyAlignment="1">
      <alignment horizontal="center" vertical="top" wrapText="1"/>
    </xf>
    <xf numFmtId="170" fontId="56" fillId="0" borderId="23" xfId="0" applyNumberFormat="1" applyFont="1" applyBorder="1" applyAlignment="1">
      <alignment horizontal="center" vertical="top" wrapText="1"/>
    </xf>
    <xf numFmtId="170" fontId="56" fillId="0" borderId="24" xfId="0" applyNumberFormat="1" applyFont="1" applyBorder="1" applyAlignment="1">
      <alignment horizontal="center" vertical="top" wrapText="1"/>
    </xf>
    <xf numFmtId="170" fontId="56" fillId="0" borderId="12" xfId="0" applyNumberFormat="1" applyFont="1" applyBorder="1" applyAlignment="1">
      <alignment horizontal="center" vertical="top" wrapText="1"/>
    </xf>
    <xf numFmtId="170" fontId="56" fillId="0" borderId="11" xfId="0" applyNumberFormat="1" applyFont="1" applyBorder="1" applyAlignment="1">
      <alignment horizontal="center" vertical="top" wrapText="1" readingOrder="1"/>
    </xf>
    <xf numFmtId="0" fontId="56" fillId="0" borderId="17" xfId="0" applyFont="1" applyBorder="1" applyAlignment="1">
      <alignment horizontal="left" vertical="center" wrapText="1" readingOrder="1"/>
    </xf>
    <xf numFmtId="170" fontId="56" fillId="0" borderId="48" xfId="0" applyNumberFormat="1" applyFont="1" applyBorder="1" applyAlignment="1">
      <alignment horizontal="center" vertical="center" wrapText="1" readingOrder="1"/>
    </xf>
    <xf numFmtId="170" fontId="56" fillId="0" borderId="49" xfId="0" applyNumberFormat="1" applyFont="1" applyBorder="1" applyAlignment="1">
      <alignment horizontal="center" vertical="center" wrapText="1" readingOrder="1"/>
    </xf>
    <xf numFmtId="0" fontId="55" fillId="0" borderId="18" xfId="0" applyFont="1" applyBorder="1" applyAlignment="1">
      <alignment horizontal="left" vertical="center" wrapText="1" readingOrder="1"/>
    </xf>
    <xf numFmtId="170" fontId="55" fillId="0" borderId="22" xfId="0" applyNumberFormat="1" applyFont="1" applyBorder="1" applyAlignment="1">
      <alignment horizontal="center" vertical="center" wrapText="1" readingOrder="1"/>
    </xf>
    <xf numFmtId="0" fontId="55" fillId="0" borderId="19" xfId="0" applyFont="1" applyBorder="1" applyAlignment="1">
      <alignment horizontal="left" vertical="center" wrapText="1" readingOrder="1"/>
    </xf>
    <xf numFmtId="0" fontId="55" fillId="0" borderId="36" xfId="0" applyFont="1" applyBorder="1" applyAlignment="1">
      <alignment horizontal="left" vertical="center" wrapText="1" readingOrder="1"/>
    </xf>
    <xf numFmtId="170" fontId="55" fillId="0" borderId="46" xfId="0" applyNumberFormat="1" applyFont="1" applyBorder="1" applyAlignment="1">
      <alignment horizontal="center" vertical="center" wrapText="1" readingOrder="1"/>
    </xf>
    <xf numFmtId="170" fontId="55" fillId="33" borderId="11" xfId="0" applyNumberFormat="1" applyFont="1" applyFill="1" applyBorder="1" applyAlignment="1">
      <alignment horizontal="center" vertical="top" wrapText="1"/>
    </xf>
    <xf numFmtId="0" fontId="56" fillId="33" borderId="17" xfId="0" applyFont="1" applyFill="1" applyBorder="1" applyAlignment="1">
      <alignment horizontal="center" vertical="center" wrapText="1" readingOrder="1"/>
    </xf>
    <xf numFmtId="0" fontId="56" fillId="33" borderId="18" xfId="0" applyFont="1" applyFill="1" applyBorder="1" applyAlignment="1">
      <alignment horizontal="center" vertical="center" wrapText="1" readingOrder="1"/>
    </xf>
    <xf numFmtId="0" fontId="55" fillId="33" borderId="18" xfId="0" applyFont="1" applyFill="1" applyBorder="1" applyAlignment="1">
      <alignment horizontal="center" vertical="center" wrapText="1" readingOrder="1"/>
    </xf>
    <xf numFmtId="170" fontId="55" fillId="33" borderId="22" xfId="0" applyNumberFormat="1" applyFont="1" applyFill="1" applyBorder="1" applyAlignment="1">
      <alignment horizontal="center" vertical="top" wrapText="1"/>
    </xf>
    <xf numFmtId="0" fontId="55" fillId="33" borderId="19" xfId="0" applyFont="1" applyFill="1" applyBorder="1" applyAlignment="1">
      <alignment horizontal="center" vertical="center" wrapText="1" readingOrder="1"/>
    </xf>
    <xf numFmtId="170" fontId="55" fillId="33" borderId="23" xfId="0" applyNumberFormat="1" applyFont="1" applyFill="1" applyBorder="1" applyAlignment="1">
      <alignment horizontal="center" vertical="top" wrapText="1"/>
    </xf>
    <xf numFmtId="2" fontId="56" fillId="0" borderId="11" xfId="0" applyNumberFormat="1" applyFont="1" applyBorder="1" applyAlignment="1">
      <alignment horizontal="center" vertical="center" wrapText="1" readingOrder="1"/>
    </xf>
    <xf numFmtId="170" fontId="55" fillId="34" borderId="23" xfId="0" applyNumberFormat="1" applyFont="1" applyFill="1" applyBorder="1" applyAlignment="1">
      <alignment horizontal="center" vertical="center" wrapText="1"/>
    </xf>
    <xf numFmtId="170" fontId="55" fillId="34" borderId="24" xfId="0" applyNumberFormat="1" applyFont="1" applyFill="1" applyBorder="1" applyAlignment="1">
      <alignment horizontal="center" vertical="center" wrapText="1"/>
    </xf>
    <xf numFmtId="170" fontId="55" fillId="0" borderId="46" xfId="0" applyNumberFormat="1" applyFont="1" applyBorder="1" applyAlignment="1">
      <alignment horizontal="center" vertical="center" wrapText="1"/>
    </xf>
    <xf numFmtId="0" fontId="56" fillId="0" borderId="19" xfId="0" applyFont="1" applyBorder="1" applyAlignment="1">
      <alignment horizontal="center" vertical="center" wrapText="1"/>
    </xf>
    <xf numFmtId="170" fontId="56" fillId="34" borderId="23" xfId="0" applyNumberFormat="1" applyFont="1" applyFill="1" applyBorder="1" applyAlignment="1">
      <alignment horizontal="center" vertical="center" wrapText="1"/>
    </xf>
    <xf numFmtId="170" fontId="56" fillId="0" borderId="23" xfId="0" applyNumberFormat="1" applyFont="1" applyBorder="1" applyAlignment="1">
      <alignment horizontal="center" vertical="center" wrapText="1"/>
    </xf>
    <xf numFmtId="170" fontId="56" fillId="34" borderId="24" xfId="0" applyNumberFormat="1" applyFont="1" applyFill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top" wrapText="1" readingOrder="1"/>
    </xf>
    <xf numFmtId="0" fontId="55" fillId="0" borderId="12" xfId="0" applyFont="1" applyBorder="1" applyAlignment="1">
      <alignment horizontal="center" vertical="top" readingOrder="1"/>
    </xf>
    <xf numFmtId="0" fontId="57" fillId="0" borderId="29" xfId="0" applyFont="1" applyBorder="1" applyAlignment="1">
      <alignment vertical="top" wrapText="1" readingOrder="1"/>
    </xf>
    <xf numFmtId="170" fontId="55" fillId="0" borderId="12" xfId="0" applyNumberFormat="1" applyFont="1" applyBorder="1" applyAlignment="1">
      <alignment horizontal="center" vertical="top" wrapText="1" readingOrder="1"/>
    </xf>
    <xf numFmtId="170" fontId="55" fillId="0" borderId="12" xfId="0" applyNumberFormat="1" applyFont="1" applyBorder="1" applyAlignment="1">
      <alignment horizontal="center" vertical="top" readingOrder="1"/>
    </xf>
    <xf numFmtId="170" fontId="55" fillId="34" borderId="12" xfId="0" applyNumberFormat="1" applyFont="1" applyFill="1" applyBorder="1" applyAlignment="1">
      <alignment horizontal="center" vertical="top" readingOrder="1"/>
    </xf>
    <xf numFmtId="0" fontId="56" fillId="0" borderId="12" xfId="0" applyFont="1" applyBorder="1" applyAlignment="1">
      <alignment horizontal="center" vertical="top" wrapText="1" readingOrder="1"/>
    </xf>
    <xf numFmtId="0" fontId="56" fillId="33" borderId="11" xfId="0" applyFont="1" applyFill="1" applyBorder="1" applyAlignment="1">
      <alignment horizontal="center" vertical="center" wrapText="1"/>
    </xf>
    <xf numFmtId="0" fontId="60" fillId="33" borderId="50" xfId="0" applyFont="1" applyFill="1" applyBorder="1" applyAlignment="1">
      <alignment horizontal="center" vertical="center" wrapText="1"/>
    </xf>
    <xf numFmtId="0" fontId="60" fillId="33" borderId="0" xfId="0" applyFont="1" applyFill="1" applyBorder="1" applyAlignment="1">
      <alignment horizontal="center" vertical="center" wrapText="1"/>
    </xf>
    <xf numFmtId="0" fontId="61" fillId="33" borderId="50" xfId="0" applyFont="1" applyFill="1" applyBorder="1" applyAlignment="1">
      <alignment horizontal="center" vertical="top" wrapText="1"/>
    </xf>
    <xf numFmtId="0" fontId="61" fillId="33" borderId="0" xfId="0" applyFont="1" applyFill="1" applyBorder="1" applyAlignment="1">
      <alignment horizontal="center" vertical="top" wrapText="1"/>
    </xf>
    <xf numFmtId="0" fontId="61" fillId="33" borderId="31" xfId="0" applyFont="1" applyFill="1" applyBorder="1" applyAlignment="1">
      <alignment horizontal="center" vertical="top" wrapText="1"/>
    </xf>
    <xf numFmtId="0" fontId="61" fillId="33" borderId="51" xfId="0" applyFont="1" applyFill="1" applyBorder="1" applyAlignment="1">
      <alignment horizontal="center" vertical="top" wrapText="1"/>
    </xf>
    <xf numFmtId="170" fontId="56" fillId="33" borderId="42" xfId="0" applyNumberFormat="1" applyFont="1" applyFill="1" applyBorder="1" applyAlignment="1">
      <alignment horizontal="left" vertical="center"/>
    </xf>
    <xf numFmtId="170" fontId="56" fillId="33" borderId="52" xfId="0" applyNumberFormat="1" applyFont="1" applyFill="1" applyBorder="1" applyAlignment="1">
      <alignment horizontal="left" vertical="center"/>
    </xf>
    <xf numFmtId="170" fontId="56" fillId="33" borderId="33" xfId="0" applyNumberFormat="1" applyFont="1" applyFill="1" applyBorder="1" applyAlignment="1">
      <alignment horizontal="left" vertical="center"/>
    </xf>
    <xf numFmtId="1" fontId="55" fillId="33" borderId="11" xfId="0" applyNumberFormat="1" applyFont="1" applyFill="1" applyBorder="1" applyAlignment="1">
      <alignment horizontal="center" vertical="center" wrapText="1"/>
    </xf>
    <xf numFmtId="170" fontId="55" fillId="33" borderId="11" xfId="0" applyNumberFormat="1" applyFont="1" applyFill="1" applyBorder="1" applyAlignment="1">
      <alignment horizontal="center" vertical="center" wrapText="1"/>
    </xf>
    <xf numFmtId="0" fontId="55" fillId="33" borderId="11" xfId="0" applyFont="1" applyFill="1" applyBorder="1" applyAlignment="1">
      <alignment horizontal="center"/>
    </xf>
    <xf numFmtId="170" fontId="55" fillId="13" borderId="50" xfId="0" applyNumberFormat="1" applyFont="1" applyFill="1" applyBorder="1" applyAlignment="1">
      <alignment horizontal="center" vertical="center" wrapText="1"/>
    </xf>
    <xf numFmtId="170" fontId="55" fillId="13" borderId="40" xfId="0" applyNumberFormat="1" applyFont="1" applyFill="1" applyBorder="1" applyAlignment="1">
      <alignment horizontal="center" vertical="center" wrapText="1"/>
    </xf>
    <xf numFmtId="170" fontId="62" fillId="33" borderId="11" xfId="0" applyNumberFormat="1" applyFont="1" applyFill="1" applyBorder="1" applyAlignment="1">
      <alignment horizontal="center" vertical="center" wrapText="1"/>
    </xf>
    <xf numFmtId="0" fontId="56" fillId="33" borderId="42" xfId="0" applyFont="1" applyFill="1" applyBorder="1" applyAlignment="1">
      <alignment horizontal="left"/>
    </xf>
    <xf numFmtId="0" fontId="56" fillId="33" borderId="52" xfId="0" applyFont="1" applyFill="1" applyBorder="1" applyAlignment="1">
      <alignment horizontal="left"/>
    </xf>
    <xf numFmtId="0" fontId="56" fillId="33" borderId="33" xfId="0" applyFont="1" applyFill="1" applyBorder="1" applyAlignment="1">
      <alignment horizontal="left"/>
    </xf>
    <xf numFmtId="170" fontId="55" fillId="0" borderId="42" xfId="0" applyNumberFormat="1" applyFont="1" applyBorder="1" applyAlignment="1">
      <alignment horizontal="center" vertical="top" wrapText="1"/>
    </xf>
    <xf numFmtId="170" fontId="55" fillId="0" borderId="52" xfId="0" applyNumberFormat="1" applyFont="1" applyBorder="1" applyAlignment="1">
      <alignment horizontal="center" vertical="top" wrapText="1"/>
    </xf>
    <xf numFmtId="170" fontId="55" fillId="0" borderId="33" xfId="0" applyNumberFormat="1" applyFont="1" applyBorder="1" applyAlignment="1">
      <alignment horizontal="center" vertical="top" wrapText="1"/>
    </xf>
    <xf numFmtId="0" fontId="55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top" wrapText="1"/>
    </xf>
    <xf numFmtId="170" fontId="56" fillId="34" borderId="48" xfId="0" applyNumberFormat="1" applyFont="1" applyFill="1" applyBorder="1" applyAlignment="1">
      <alignment horizontal="center" vertical="center" wrapText="1"/>
    </xf>
    <xf numFmtId="170" fontId="56" fillId="34" borderId="11" xfId="0" applyNumberFormat="1" applyFont="1" applyFill="1" applyBorder="1" applyAlignment="1">
      <alignment horizontal="center" vertical="center" wrapText="1"/>
    </xf>
    <xf numFmtId="170" fontId="56" fillId="34" borderId="49" xfId="0" applyNumberFormat="1" applyFont="1" applyFill="1" applyBorder="1" applyAlignment="1">
      <alignment horizontal="center" vertical="center" wrapText="1"/>
    </xf>
    <xf numFmtId="170" fontId="56" fillId="34" borderId="22" xfId="0" applyNumberFormat="1" applyFont="1" applyFill="1" applyBorder="1" applyAlignment="1">
      <alignment horizontal="center" vertical="center" wrapText="1"/>
    </xf>
    <xf numFmtId="0" fontId="55" fillId="0" borderId="33" xfId="0" applyFont="1" applyBorder="1" applyAlignment="1">
      <alignment horizontal="left" vertical="center" wrapText="1" readingOrder="1"/>
    </xf>
    <xf numFmtId="9" fontId="55" fillId="0" borderId="11" xfId="0" applyNumberFormat="1" applyFont="1" applyBorder="1" applyAlignment="1">
      <alignment horizontal="center" vertical="center" wrapText="1"/>
    </xf>
    <xf numFmtId="0" fontId="55" fillId="0" borderId="42" xfId="0" applyFont="1" applyBorder="1" applyAlignment="1">
      <alignment horizontal="center" vertical="top" wrapText="1"/>
    </xf>
    <xf numFmtId="0" fontId="56" fillId="0" borderId="11" xfId="0" applyFont="1" applyBorder="1" applyAlignment="1">
      <alignment vertical="top" wrapText="1"/>
    </xf>
    <xf numFmtId="0" fontId="56" fillId="0" borderId="17" xfId="0" applyFont="1" applyBorder="1" applyAlignment="1">
      <alignment horizontal="left" vertical="center" wrapText="1"/>
    </xf>
    <xf numFmtId="0" fontId="56" fillId="0" borderId="18" xfId="0" applyFont="1" applyBorder="1" applyAlignment="1">
      <alignment horizontal="left" vertical="center" wrapText="1"/>
    </xf>
    <xf numFmtId="170" fontId="56" fillId="0" borderId="48" xfId="0" applyNumberFormat="1" applyFont="1" applyBorder="1" applyAlignment="1">
      <alignment horizontal="center" vertical="center" wrapText="1"/>
    </xf>
    <xf numFmtId="170" fontId="56" fillId="0" borderId="11" xfId="0" applyNumberFormat="1" applyFont="1" applyBorder="1" applyAlignment="1">
      <alignment horizontal="center" vertical="center" wrapText="1"/>
    </xf>
    <xf numFmtId="170" fontId="56" fillId="0" borderId="49" xfId="0" applyNumberFormat="1" applyFont="1" applyBorder="1" applyAlignment="1">
      <alignment horizontal="center" vertical="center" wrapText="1"/>
    </xf>
    <xf numFmtId="170" fontId="56" fillId="0" borderId="22" xfId="0" applyNumberFormat="1" applyFont="1" applyBorder="1" applyAlignment="1">
      <alignment horizontal="center" vertical="center" wrapText="1"/>
    </xf>
    <xf numFmtId="0" fontId="55" fillId="0" borderId="32" xfId="0" applyFont="1" applyBorder="1" applyAlignment="1">
      <alignment horizontal="left" vertical="center" wrapText="1" readingOrder="1"/>
    </xf>
    <xf numFmtId="0" fontId="55" fillId="0" borderId="40" xfId="0" applyFont="1" applyBorder="1" applyAlignment="1">
      <alignment horizontal="left" vertical="center" wrapText="1" readingOrder="1"/>
    </xf>
    <xf numFmtId="0" fontId="55" fillId="0" borderId="30" xfId="0" applyFont="1" applyBorder="1" applyAlignment="1">
      <alignment horizontal="left" vertical="center" wrapText="1" readingOrder="1"/>
    </xf>
    <xf numFmtId="0" fontId="55" fillId="0" borderId="11" xfId="0" applyFont="1" applyBorder="1" applyAlignment="1">
      <alignment vertical="top" wrapText="1"/>
    </xf>
    <xf numFmtId="0" fontId="55" fillId="0" borderId="12" xfId="0" applyFont="1" applyBorder="1" applyAlignment="1">
      <alignment vertical="top" wrapText="1"/>
    </xf>
    <xf numFmtId="0" fontId="55" fillId="0" borderId="15" xfId="0" applyFont="1" applyBorder="1" applyAlignment="1">
      <alignment horizontal="center" vertical="top" wrapText="1"/>
    </xf>
    <xf numFmtId="49" fontId="55" fillId="0" borderId="12" xfId="57" applyNumberFormat="1" applyFont="1" applyBorder="1" applyAlignment="1">
      <alignment horizontal="center" vertical="center" wrapText="1" readingOrder="1"/>
    </xf>
    <xf numFmtId="0" fontId="0" fillId="0" borderId="16" xfId="0" applyBorder="1" applyAlignment="1">
      <alignment horizontal="center" vertical="center" wrapText="1" readingOrder="1"/>
    </xf>
    <xf numFmtId="49" fontId="55" fillId="0" borderId="12" xfId="0" applyNumberFormat="1" applyFont="1" applyBorder="1" applyAlignment="1">
      <alignment horizontal="center" vertical="center" wrapText="1" readingOrder="1"/>
    </xf>
    <xf numFmtId="0" fontId="0" fillId="0" borderId="29" xfId="0" applyBorder="1" applyAlignment="1">
      <alignment horizontal="center" vertical="center" wrapText="1" readingOrder="1"/>
    </xf>
    <xf numFmtId="0" fontId="55" fillId="0" borderId="12" xfId="0" applyFont="1" applyBorder="1" applyAlignment="1">
      <alignment horizontal="center" vertical="center" wrapText="1"/>
    </xf>
    <xf numFmtId="0" fontId="55" fillId="0" borderId="29" xfId="0" applyFont="1" applyBorder="1" applyAlignment="1">
      <alignment horizontal="center" vertical="center" wrapText="1"/>
    </xf>
    <xf numFmtId="170" fontId="55" fillId="0" borderId="12" xfId="0" applyNumberFormat="1" applyFont="1" applyBorder="1" applyAlignment="1">
      <alignment horizontal="center" vertical="center" wrapText="1" readingOrder="1"/>
    </xf>
    <xf numFmtId="170" fontId="55" fillId="0" borderId="29" xfId="0" applyNumberFormat="1" applyFont="1" applyBorder="1" applyAlignment="1">
      <alignment horizontal="center" vertical="center" wrapText="1" readingOrder="1"/>
    </xf>
    <xf numFmtId="49" fontId="55" fillId="0" borderId="12" xfId="0" applyNumberFormat="1" applyFont="1" applyBorder="1" applyAlignment="1">
      <alignment horizontal="center" vertical="top" wrapText="1" readingOrder="1"/>
    </xf>
    <xf numFmtId="0" fontId="0" fillId="0" borderId="29" xfId="0" applyBorder="1" applyAlignment="1">
      <alignment horizontal="center" vertical="top" wrapText="1" readingOrder="1"/>
    </xf>
    <xf numFmtId="0" fontId="0" fillId="0" borderId="16" xfId="0" applyBorder="1" applyAlignment="1">
      <alignment horizontal="center" vertical="top" wrapText="1" readingOrder="1"/>
    </xf>
    <xf numFmtId="49" fontId="55" fillId="0" borderId="12" xfId="0" applyNumberFormat="1" applyFont="1" applyBorder="1" applyAlignment="1">
      <alignment horizontal="left" vertical="top" wrapText="1" readingOrder="1"/>
    </xf>
    <xf numFmtId="0" fontId="0" fillId="0" borderId="29" xfId="0" applyBorder="1" applyAlignment="1">
      <alignment horizontal="left" vertical="top" wrapText="1" readingOrder="1"/>
    </xf>
    <xf numFmtId="0" fontId="0" fillId="0" borderId="16" xfId="0" applyBorder="1" applyAlignment="1">
      <alignment horizontal="left" vertical="top" wrapText="1" readingOrder="1"/>
    </xf>
    <xf numFmtId="0" fontId="55" fillId="0" borderId="12" xfId="0" applyFont="1" applyBorder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49" fontId="55" fillId="0" borderId="12" xfId="0" applyNumberFormat="1" applyFont="1" applyBorder="1" applyAlignment="1">
      <alignment horizontal="left" vertical="center" wrapText="1" readingOrder="1"/>
    </xf>
    <xf numFmtId="0" fontId="0" fillId="0" borderId="16" xfId="0" applyBorder="1" applyAlignment="1">
      <alignment horizontal="left" vertical="center" wrapText="1" readingOrder="1"/>
    </xf>
    <xf numFmtId="49" fontId="0" fillId="0" borderId="29" xfId="0" applyNumberFormat="1" applyBorder="1" applyAlignment="1">
      <alignment horizontal="center" vertical="center" wrapText="1" readingOrder="1"/>
    </xf>
    <xf numFmtId="49" fontId="0" fillId="0" borderId="16" xfId="0" applyNumberFormat="1" applyBorder="1" applyAlignment="1">
      <alignment horizontal="center" vertical="center" wrapText="1" readingOrder="1"/>
    </xf>
    <xf numFmtId="0" fontId="55" fillId="0" borderId="16" xfId="0" applyFont="1" applyBorder="1" applyAlignment="1">
      <alignment horizontal="center" vertical="center" wrapText="1"/>
    </xf>
    <xf numFmtId="170" fontId="55" fillId="0" borderId="16" xfId="0" applyNumberFormat="1" applyFont="1" applyBorder="1" applyAlignment="1">
      <alignment horizontal="center" vertical="center" wrapText="1" readingOrder="1"/>
    </xf>
    <xf numFmtId="0" fontId="0" fillId="0" borderId="29" xfId="0" applyBorder="1" applyAlignment="1">
      <alignment horizontal="left" vertical="center" wrapText="1" readingOrder="1"/>
    </xf>
    <xf numFmtId="49" fontId="55" fillId="0" borderId="29" xfId="0" applyNumberFormat="1" applyFont="1" applyBorder="1" applyAlignment="1">
      <alignment horizontal="center" vertical="center" wrapText="1" readingOrder="1"/>
    </xf>
    <xf numFmtId="49" fontId="55" fillId="0" borderId="16" xfId="0" applyNumberFormat="1" applyFont="1" applyBorder="1" applyAlignment="1">
      <alignment horizontal="center" vertical="center" wrapText="1" readingOrder="1"/>
    </xf>
    <xf numFmtId="170" fontId="56" fillId="0" borderId="11" xfId="0" applyNumberFormat="1" applyFont="1" applyBorder="1" applyAlignment="1">
      <alignment horizontal="center" vertical="center" wrapText="1" readingOrder="1"/>
    </xf>
    <xf numFmtId="49" fontId="55" fillId="0" borderId="29" xfId="0" applyNumberFormat="1" applyFont="1" applyBorder="1" applyAlignment="1">
      <alignment horizontal="left" vertical="center" wrapText="1" readingOrder="1"/>
    </xf>
    <xf numFmtId="49" fontId="55" fillId="0" borderId="29" xfId="0" applyNumberFormat="1" applyFont="1" applyBorder="1" applyAlignment="1">
      <alignment horizontal="center" vertical="top" wrapText="1" readingOrder="1"/>
    </xf>
    <xf numFmtId="49" fontId="55" fillId="0" borderId="29" xfId="0" applyNumberFormat="1" applyFont="1" applyBorder="1" applyAlignment="1">
      <alignment horizontal="left" vertical="top" wrapText="1" readingOrder="1"/>
    </xf>
    <xf numFmtId="0" fontId="55" fillId="0" borderId="29" xfId="0" applyFont="1" applyBorder="1" applyAlignment="1">
      <alignment horizontal="center" vertical="top" wrapText="1"/>
    </xf>
    <xf numFmtId="0" fontId="56" fillId="0" borderId="12" xfId="0" applyFont="1" applyBorder="1" applyAlignment="1">
      <alignment horizontal="left" vertical="center" wrapText="1"/>
    </xf>
    <xf numFmtId="0" fontId="56" fillId="0" borderId="16" xfId="0" applyFont="1" applyBorder="1" applyAlignment="1">
      <alignment horizontal="left" vertical="center" wrapText="1"/>
    </xf>
    <xf numFmtId="0" fontId="55" fillId="0" borderId="12" xfId="0" applyFont="1" applyBorder="1" applyAlignment="1">
      <alignment horizontal="center" vertical="center" wrapText="1" readingOrder="1"/>
    </xf>
    <xf numFmtId="0" fontId="55" fillId="0" borderId="16" xfId="0" applyFont="1" applyBorder="1" applyAlignment="1">
      <alignment horizontal="center" vertical="center" wrapText="1" readingOrder="1"/>
    </xf>
    <xf numFmtId="0" fontId="0" fillId="0" borderId="29" xfId="0" applyBorder="1" applyAlignment="1">
      <alignment horizontal="center" wrapText="1" readingOrder="1"/>
    </xf>
    <xf numFmtId="0" fontId="0" fillId="0" borderId="16" xfId="0" applyBorder="1" applyAlignment="1">
      <alignment horizontal="center" wrapText="1" readingOrder="1"/>
    </xf>
    <xf numFmtId="0" fontId="0" fillId="0" borderId="29" xfId="0" applyBorder="1" applyAlignment="1">
      <alignment wrapText="1"/>
    </xf>
    <xf numFmtId="0" fontId="0" fillId="0" borderId="16" xfId="0" applyBorder="1" applyAlignment="1">
      <alignment wrapText="1"/>
    </xf>
    <xf numFmtId="0" fontId="55" fillId="0" borderId="11" xfId="0" applyFont="1" applyBorder="1" applyAlignment="1">
      <alignment horizontal="center" vertical="top" wrapText="1" readingOrder="1"/>
    </xf>
    <xf numFmtId="0" fontId="0" fillId="0" borderId="11" xfId="0" applyBorder="1" applyAlignment="1">
      <alignment horizontal="center" vertical="top" wrapText="1" readingOrder="1"/>
    </xf>
    <xf numFmtId="0" fontId="55" fillId="0" borderId="12" xfId="0" applyFont="1" applyBorder="1" applyAlignment="1">
      <alignment horizontal="left" vertical="top" wrapText="1" readingOrder="1"/>
    </xf>
    <xf numFmtId="170" fontId="55" fillId="0" borderId="11" xfId="0" applyNumberFormat="1" applyFont="1" applyBorder="1" applyAlignment="1">
      <alignment horizontal="center" vertical="center" wrapText="1" readingOrder="1"/>
    </xf>
    <xf numFmtId="170" fontId="55" fillId="0" borderId="11" xfId="0" applyNumberFormat="1" applyFont="1" applyBorder="1" applyAlignment="1">
      <alignment horizontal="center" vertical="center" wrapText="1"/>
    </xf>
    <xf numFmtId="49" fontId="56" fillId="0" borderId="50" xfId="0" applyNumberFormat="1" applyFont="1" applyBorder="1" applyAlignment="1">
      <alignment horizontal="left" vertical="center" wrapText="1" readingOrder="1"/>
    </xf>
    <xf numFmtId="49" fontId="56" fillId="0" borderId="0" xfId="0" applyNumberFormat="1" applyFont="1" applyBorder="1" applyAlignment="1">
      <alignment horizontal="left" vertical="center" wrapText="1" readingOrder="1"/>
    </xf>
    <xf numFmtId="49" fontId="56" fillId="0" borderId="40" xfId="0" applyNumberFormat="1" applyFont="1" applyBorder="1" applyAlignment="1">
      <alignment horizontal="left" vertical="center" wrapText="1" readingOrder="1"/>
    </xf>
    <xf numFmtId="0" fontId="0" fillId="0" borderId="11" xfId="0" applyBorder="1" applyAlignment="1">
      <alignment wrapText="1"/>
    </xf>
    <xf numFmtId="0" fontId="0" fillId="0" borderId="29" xfId="0" applyBorder="1" applyAlignment="1">
      <alignment vertical="center" wrapText="1" readingOrder="1"/>
    </xf>
    <xf numFmtId="0" fontId="0" fillId="0" borderId="16" xfId="0" applyBorder="1" applyAlignment="1">
      <alignment vertical="center" wrapText="1" readingOrder="1"/>
    </xf>
    <xf numFmtId="170" fontId="55" fillId="34" borderId="11" xfId="0" applyNumberFormat="1" applyFont="1" applyFill="1" applyBorder="1" applyAlignment="1">
      <alignment horizontal="center" vertical="center" wrapText="1"/>
    </xf>
    <xf numFmtId="170" fontId="55" fillId="34" borderId="11" xfId="0" applyNumberFormat="1" applyFont="1" applyFill="1" applyBorder="1" applyAlignment="1">
      <alignment horizontal="center" vertical="center" wrapText="1" readingOrder="1"/>
    </xf>
    <xf numFmtId="170" fontId="55" fillId="34" borderId="12" xfId="0" applyNumberFormat="1" applyFont="1" applyFill="1" applyBorder="1" applyAlignment="1">
      <alignment horizontal="center" vertical="center" wrapText="1" readingOrder="1"/>
    </xf>
    <xf numFmtId="49" fontId="0" fillId="0" borderId="29" xfId="0" applyNumberFormat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 wrapText="1"/>
    </xf>
    <xf numFmtId="49" fontId="55" fillId="0" borderId="11" xfId="0" applyNumberFormat="1" applyFont="1" applyBorder="1" applyAlignment="1">
      <alignment horizontal="center" vertical="top" wrapText="1" readingOrder="1"/>
    </xf>
    <xf numFmtId="49" fontId="55" fillId="0" borderId="11" xfId="0" applyNumberFormat="1" applyFont="1" applyBorder="1" applyAlignment="1">
      <alignment horizontal="left" vertical="top" wrapText="1" readingOrder="1"/>
    </xf>
    <xf numFmtId="0" fontId="0" fillId="0" borderId="11" xfId="0" applyBorder="1" applyAlignment="1">
      <alignment horizontal="left" vertical="top" wrapText="1" readingOrder="1"/>
    </xf>
    <xf numFmtId="0" fontId="0" fillId="0" borderId="29" xfId="0" applyBorder="1" applyAlignment="1">
      <alignment horizontal="center" vertical="center" wrapText="1"/>
    </xf>
    <xf numFmtId="49" fontId="55" fillId="0" borderId="12" xfId="0" applyNumberFormat="1" applyFont="1" applyBorder="1" applyAlignment="1">
      <alignment horizontal="center" vertical="center" wrapText="1"/>
    </xf>
    <xf numFmtId="49" fontId="55" fillId="0" borderId="29" xfId="0" applyNumberFormat="1" applyFont="1" applyBorder="1" applyAlignment="1">
      <alignment horizontal="center" vertical="center" wrapText="1"/>
    </xf>
    <xf numFmtId="49" fontId="55" fillId="0" borderId="16" xfId="0" applyNumberFormat="1" applyFont="1" applyBorder="1" applyAlignment="1">
      <alignment horizontal="center" vertical="center" wrapText="1"/>
    </xf>
    <xf numFmtId="49" fontId="55" fillId="0" borderId="11" xfId="0" applyNumberFormat="1" applyFont="1" applyBorder="1" applyAlignment="1">
      <alignment horizontal="center" vertical="center" wrapText="1" readingOrder="1"/>
    </xf>
    <xf numFmtId="0" fontId="0" fillId="0" borderId="11" xfId="0" applyBorder="1" applyAlignment="1">
      <alignment horizontal="center" vertical="center" wrapText="1" readingOrder="1"/>
    </xf>
    <xf numFmtId="170" fontId="55" fillId="0" borderId="12" xfId="0" applyNumberFormat="1" applyFont="1" applyBorder="1" applyAlignment="1">
      <alignment horizontal="center" vertical="center" wrapText="1"/>
    </xf>
    <xf numFmtId="170" fontId="55" fillId="34" borderId="16" xfId="0" applyNumberFormat="1" applyFont="1" applyFill="1" applyBorder="1" applyAlignment="1">
      <alignment horizontal="center" vertical="center" wrapText="1" readingOrder="1"/>
    </xf>
    <xf numFmtId="49" fontId="55" fillId="0" borderId="11" xfId="0" applyNumberFormat="1" applyFont="1" applyBorder="1" applyAlignment="1">
      <alignment horizontal="left" vertical="center" wrapText="1" readingOrder="1"/>
    </xf>
    <xf numFmtId="0" fontId="0" fillId="0" borderId="11" xfId="0" applyBorder="1" applyAlignment="1">
      <alignment horizontal="left" wrapText="1" readingOrder="1"/>
    </xf>
    <xf numFmtId="170" fontId="56" fillId="0" borderId="12" xfId="0" applyNumberFormat="1" applyFont="1" applyBorder="1" applyAlignment="1">
      <alignment horizontal="center" vertical="center" wrapText="1" readingOrder="1"/>
    </xf>
    <xf numFmtId="170" fontId="56" fillId="0" borderId="29" xfId="0" applyNumberFormat="1" applyFont="1" applyBorder="1" applyAlignment="1">
      <alignment horizontal="center" vertical="center" wrapText="1" readingOrder="1"/>
    </xf>
    <xf numFmtId="0" fontId="56" fillId="0" borderId="29" xfId="0" applyFont="1" applyBorder="1" applyAlignment="1">
      <alignment horizontal="left" vertical="center" wrapText="1"/>
    </xf>
    <xf numFmtId="170" fontId="56" fillId="0" borderId="12" xfId="0" applyNumberFormat="1" applyFont="1" applyBorder="1" applyAlignment="1">
      <alignment horizontal="center" vertical="center" wrapText="1"/>
    </xf>
    <xf numFmtId="170" fontId="56" fillId="0" borderId="29" xfId="0" applyNumberFormat="1" applyFont="1" applyBorder="1" applyAlignment="1">
      <alignment horizontal="center" vertical="center" wrapText="1"/>
    </xf>
    <xf numFmtId="49" fontId="61" fillId="0" borderId="11" xfId="0" applyNumberFormat="1" applyFont="1" applyBorder="1" applyAlignment="1">
      <alignment horizontal="center" vertical="center" wrapText="1" readingOrder="1"/>
    </xf>
    <xf numFmtId="0" fontId="0" fillId="0" borderId="11" xfId="0" applyBorder="1" applyAlignment="1">
      <alignment horizontal="left" vertical="center" wrapText="1" readingOrder="1"/>
    </xf>
    <xf numFmtId="9" fontId="55" fillId="0" borderId="11" xfId="0" applyNumberFormat="1" applyFont="1" applyBorder="1" applyAlignment="1">
      <alignment horizontal="center" vertical="center" wrapText="1" readingOrder="1"/>
    </xf>
    <xf numFmtId="170" fontId="56" fillId="0" borderId="16" xfId="0" applyNumberFormat="1" applyFont="1" applyBorder="1" applyAlignment="1">
      <alignment horizontal="center" vertical="center" wrapText="1" readingOrder="1"/>
    </xf>
    <xf numFmtId="0" fontId="56" fillId="0" borderId="12" xfId="0" applyFont="1" applyBorder="1" applyAlignment="1">
      <alignment horizontal="center" vertical="center" wrapText="1"/>
    </xf>
    <xf numFmtId="0" fontId="56" fillId="0" borderId="29" xfId="0" applyFont="1" applyBorder="1" applyAlignment="1">
      <alignment horizontal="center" vertical="center" wrapText="1"/>
    </xf>
    <xf numFmtId="0" fontId="56" fillId="0" borderId="16" xfId="0" applyFont="1" applyBorder="1" applyAlignment="1">
      <alignment horizontal="center" vertical="center" wrapText="1"/>
    </xf>
    <xf numFmtId="0" fontId="0" fillId="0" borderId="29" xfId="0" applyBorder="1" applyAlignment="1">
      <alignment vertical="top" wrapText="1" readingOrder="1"/>
    </xf>
    <xf numFmtId="0" fontId="0" fillId="0" borderId="16" xfId="0" applyBorder="1" applyAlignment="1">
      <alignment vertical="top" wrapText="1" readingOrder="1"/>
    </xf>
    <xf numFmtId="49" fontId="55" fillId="0" borderId="16" xfId="0" applyNumberFormat="1" applyFont="1" applyBorder="1" applyAlignment="1">
      <alignment horizontal="center" vertical="top" wrapText="1" readingOrder="1"/>
    </xf>
    <xf numFmtId="49" fontId="55" fillId="0" borderId="12" xfId="0" applyNumberFormat="1" applyFont="1" applyBorder="1" applyAlignment="1">
      <alignment vertical="top" wrapText="1" readingOrder="1"/>
    </xf>
    <xf numFmtId="0" fontId="0" fillId="0" borderId="16" xfId="0" applyBorder="1" applyAlignment="1">
      <alignment horizontal="center" vertical="center" wrapText="1"/>
    </xf>
    <xf numFmtId="170" fontId="55" fillId="0" borderId="12" xfId="0" applyNumberFormat="1" applyFont="1" applyFill="1" applyBorder="1" applyAlignment="1">
      <alignment horizontal="center" vertical="center" wrapText="1" readingOrder="1"/>
    </xf>
    <xf numFmtId="170" fontId="55" fillId="0" borderId="29" xfId="0" applyNumberFormat="1" applyFont="1" applyFill="1" applyBorder="1" applyAlignment="1">
      <alignment horizontal="center" vertical="center" wrapText="1" readingOrder="1"/>
    </xf>
    <xf numFmtId="0" fontId="0" fillId="0" borderId="29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170" fontId="55" fillId="34" borderId="29" xfId="0" applyNumberFormat="1" applyFont="1" applyFill="1" applyBorder="1" applyAlignment="1">
      <alignment horizontal="center" vertical="center" wrapText="1" readingOrder="1"/>
    </xf>
    <xf numFmtId="0" fontId="0" fillId="34" borderId="29" xfId="0" applyFill="1" applyBorder="1" applyAlignment="1">
      <alignment horizontal="center" vertical="center" wrapText="1"/>
    </xf>
    <xf numFmtId="0" fontId="0" fillId="34" borderId="16" xfId="0" applyFill="1" applyBorder="1" applyAlignment="1">
      <alignment horizontal="center" vertical="center" wrapText="1"/>
    </xf>
    <xf numFmtId="0" fontId="0" fillId="34" borderId="29" xfId="0" applyFill="1" applyBorder="1" applyAlignment="1">
      <alignment horizontal="center" vertical="center" wrapText="1" readingOrder="1"/>
    </xf>
    <xf numFmtId="0" fontId="0" fillId="34" borderId="16" xfId="0" applyFill="1" applyBorder="1" applyAlignment="1">
      <alignment horizontal="center" vertical="center" wrapText="1" readingOrder="1"/>
    </xf>
    <xf numFmtId="0" fontId="0" fillId="0" borderId="29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55" fillId="0" borderId="29" xfId="0" applyFont="1" applyBorder="1" applyAlignment="1">
      <alignment horizontal="center" vertical="center" wrapText="1" readingOrder="1"/>
    </xf>
    <xf numFmtId="0" fontId="55" fillId="0" borderId="12" xfId="0" applyFont="1" applyBorder="1" applyAlignment="1">
      <alignment horizontal="left" vertical="center" wrapText="1" readingOrder="1"/>
    </xf>
    <xf numFmtId="0" fontId="55" fillId="0" borderId="11" xfId="0" applyFont="1" applyBorder="1" applyAlignment="1">
      <alignment horizontal="left" vertical="center" wrapText="1" readingOrder="1"/>
    </xf>
    <xf numFmtId="49" fontId="56" fillId="0" borderId="42" xfId="0" applyNumberFormat="1" applyFont="1" applyBorder="1" applyAlignment="1">
      <alignment horizontal="left" vertical="center" wrapText="1" readingOrder="1"/>
    </xf>
    <xf numFmtId="49" fontId="56" fillId="0" borderId="52" xfId="0" applyNumberFormat="1" applyFont="1" applyBorder="1" applyAlignment="1">
      <alignment horizontal="left" vertical="center" wrapText="1" readingOrder="1"/>
    </xf>
    <xf numFmtId="49" fontId="56" fillId="0" borderId="51" xfId="0" applyNumberFormat="1" applyFont="1" applyBorder="1" applyAlignment="1">
      <alignment horizontal="left" vertical="center" wrapText="1" readingOrder="1"/>
    </xf>
    <xf numFmtId="49" fontId="56" fillId="0" borderId="33" xfId="0" applyNumberFormat="1" applyFont="1" applyBorder="1" applyAlignment="1">
      <alignment horizontal="left" vertical="center" wrapText="1" readingOrder="1"/>
    </xf>
    <xf numFmtId="0" fontId="55" fillId="0" borderId="10" xfId="0" applyFont="1" applyBorder="1" applyAlignment="1">
      <alignment horizontal="left" vertical="center" wrapText="1" readingOrder="1"/>
    </xf>
    <xf numFmtId="0" fontId="55" fillId="0" borderId="0" xfId="0" applyFont="1" applyBorder="1" applyAlignment="1">
      <alignment horizontal="left" vertical="center" wrapText="1" readingOrder="1"/>
    </xf>
    <xf numFmtId="0" fontId="0" fillId="0" borderId="51" xfId="0" applyBorder="1" applyAlignment="1">
      <alignment horizontal="left" vertical="center" wrapText="1" readingOrder="1"/>
    </xf>
    <xf numFmtId="0" fontId="0" fillId="0" borderId="11" xfId="0" applyBorder="1" applyAlignment="1">
      <alignment horizontal="center" vertical="top" wrapText="1"/>
    </xf>
    <xf numFmtId="0" fontId="0" fillId="0" borderId="11" xfId="0" applyFont="1" applyBorder="1" applyAlignment="1">
      <alignment vertical="top" wrapText="1"/>
    </xf>
    <xf numFmtId="0" fontId="0" fillId="0" borderId="42" xfId="0" applyBorder="1" applyAlignment="1">
      <alignment horizontal="center" vertical="top" wrapText="1"/>
    </xf>
    <xf numFmtId="0" fontId="0" fillId="0" borderId="18" xfId="0" applyBorder="1" applyAlignment="1">
      <alignment horizontal="left" vertical="center" wrapText="1"/>
    </xf>
    <xf numFmtId="49" fontId="0" fillId="0" borderId="11" xfId="0" applyNumberFormat="1" applyBorder="1" applyAlignment="1">
      <alignment horizontal="center" vertical="center" wrapText="1" readingOrder="1"/>
    </xf>
    <xf numFmtId="170" fontId="55" fillId="33" borderId="12" xfId="0" applyNumberFormat="1" applyFont="1" applyFill="1" applyBorder="1" applyAlignment="1">
      <alignment horizontal="center" vertical="center" wrapText="1"/>
    </xf>
    <xf numFmtId="170" fontId="55" fillId="33" borderId="16" xfId="0" applyNumberFormat="1" applyFont="1" applyFill="1" applyBorder="1" applyAlignment="1">
      <alignment horizontal="center" vertical="center" wrapText="1"/>
    </xf>
    <xf numFmtId="170" fontId="55" fillId="33" borderId="12" xfId="0" applyNumberFormat="1" applyFont="1" applyFill="1" applyBorder="1" applyAlignment="1">
      <alignment horizontal="center" vertical="center" wrapText="1" readingOrder="1"/>
    </xf>
    <xf numFmtId="170" fontId="55" fillId="33" borderId="16" xfId="0" applyNumberFormat="1" applyFont="1" applyFill="1" applyBorder="1" applyAlignment="1">
      <alignment horizontal="center" vertical="center" wrapText="1" readingOrder="1"/>
    </xf>
    <xf numFmtId="170" fontId="56" fillId="33" borderId="12" xfId="0" applyNumberFormat="1" applyFont="1" applyFill="1" applyBorder="1" applyAlignment="1">
      <alignment horizontal="center" vertical="center" wrapText="1" readingOrder="1"/>
    </xf>
    <xf numFmtId="170" fontId="56" fillId="33" borderId="29" xfId="0" applyNumberFormat="1" applyFont="1" applyFill="1" applyBorder="1" applyAlignment="1">
      <alignment horizontal="center" vertical="center" wrapText="1" readingOrder="1"/>
    </xf>
    <xf numFmtId="170" fontId="56" fillId="33" borderId="16" xfId="0" applyNumberFormat="1" applyFont="1" applyFill="1" applyBorder="1" applyAlignment="1">
      <alignment horizontal="center" vertical="center" wrapText="1" readingOrder="1"/>
    </xf>
    <xf numFmtId="0" fontId="0" fillId="0" borderId="16" xfId="0" applyBorder="1" applyAlignment="1">
      <alignment/>
    </xf>
    <xf numFmtId="0" fontId="0" fillId="0" borderId="29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55" fillId="0" borderId="12" xfId="0" applyFont="1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170" fontId="55" fillId="0" borderId="16" xfId="0" applyNumberFormat="1" applyFont="1" applyBorder="1" applyAlignment="1">
      <alignment horizontal="center" vertical="center" wrapText="1"/>
    </xf>
    <xf numFmtId="170" fontId="55" fillId="0" borderId="29" xfId="0" applyNumberFormat="1" applyFont="1" applyBorder="1" applyAlignment="1">
      <alignment horizontal="center" vertical="center" wrapText="1"/>
    </xf>
    <xf numFmtId="170" fontId="55" fillId="33" borderId="29" xfId="0" applyNumberFormat="1" applyFont="1" applyFill="1" applyBorder="1" applyAlignment="1">
      <alignment horizontal="center" vertical="center" wrapText="1"/>
    </xf>
    <xf numFmtId="0" fontId="0" fillId="0" borderId="29" xfId="0" applyBorder="1" applyAlignment="1">
      <alignment horizontal="left" wrapText="1" readingOrder="1"/>
    </xf>
    <xf numFmtId="0" fontId="0" fillId="0" borderId="16" xfId="0" applyBorder="1" applyAlignment="1">
      <alignment horizontal="left" wrapText="1" readingOrder="1"/>
    </xf>
    <xf numFmtId="0" fontId="55" fillId="0" borderId="29" xfId="0" applyFont="1" applyBorder="1" applyAlignment="1">
      <alignment horizontal="left" vertical="center" wrapText="1" readingOrder="1"/>
    </xf>
    <xf numFmtId="0" fontId="55" fillId="0" borderId="16" xfId="0" applyFont="1" applyBorder="1" applyAlignment="1">
      <alignment horizontal="left" vertical="center" wrapText="1" readingOrder="1"/>
    </xf>
    <xf numFmtId="49" fontId="55" fillId="0" borderId="32" xfId="0" applyNumberFormat="1" applyFont="1" applyBorder="1" applyAlignment="1">
      <alignment horizontal="center" vertical="top" wrapText="1" readingOrder="1"/>
    </xf>
    <xf numFmtId="49" fontId="55" fillId="0" borderId="30" xfId="0" applyNumberFormat="1" applyFont="1" applyBorder="1" applyAlignment="1">
      <alignment horizontal="center" vertical="top" wrapText="1" readingOrder="1"/>
    </xf>
    <xf numFmtId="0" fontId="55" fillId="0" borderId="32" xfId="0" applyFont="1" applyBorder="1" applyAlignment="1">
      <alignment horizontal="center" vertical="center" wrapText="1"/>
    </xf>
    <xf numFmtId="0" fontId="55" fillId="0" borderId="40" xfId="0" applyFont="1" applyBorder="1" applyAlignment="1">
      <alignment horizontal="center" vertical="center" wrapText="1"/>
    </xf>
    <xf numFmtId="0" fontId="0" fillId="0" borderId="29" xfId="0" applyBorder="1" applyAlignment="1">
      <alignment wrapText="1" readingOrder="1"/>
    </xf>
    <xf numFmtId="0" fontId="0" fillId="0" borderId="16" xfId="0" applyBorder="1" applyAlignment="1">
      <alignment wrapText="1" readingOrder="1"/>
    </xf>
    <xf numFmtId="49" fontId="56" fillId="0" borderId="31" xfId="0" applyNumberFormat="1" applyFont="1" applyBorder="1" applyAlignment="1">
      <alignment horizontal="left" vertical="center" wrapText="1" readingOrder="1"/>
    </xf>
    <xf numFmtId="49" fontId="56" fillId="0" borderId="30" xfId="0" applyNumberFormat="1" applyFont="1" applyBorder="1" applyAlignment="1">
      <alignment horizontal="left" vertical="center" wrapText="1" readingOrder="1"/>
    </xf>
    <xf numFmtId="0" fontId="55" fillId="0" borderId="12" xfId="0" applyFont="1" applyBorder="1" applyAlignment="1">
      <alignment horizontal="center" vertical="top" wrapText="1" readingOrder="1"/>
    </xf>
    <xf numFmtId="0" fontId="0" fillId="0" borderId="33" xfId="0" applyBorder="1" applyAlignment="1">
      <alignment horizontal="left" vertical="center" wrapText="1" readingOrder="1"/>
    </xf>
    <xf numFmtId="49" fontId="55" fillId="0" borderId="11" xfId="0" applyNumberFormat="1" applyFont="1" applyBorder="1" applyAlignment="1">
      <alignment horizontal="center" vertical="top" wrapText="1"/>
    </xf>
    <xf numFmtId="0" fontId="55" fillId="0" borderId="42" xfId="0" applyFont="1" applyBorder="1" applyAlignment="1">
      <alignment horizontal="left" vertical="center" wrapText="1" readingOrder="1"/>
    </xf>
    <xf numFmtId="0" fontId="0" fillId="0" borderId="42" xfId="0" applyBorder="1" applyAlignment="1">
      <alignment horizontal="left" vertical="center" wrapText="1" readingOrder="1"/>
    </xf>
    <xf numFmtId="0" fontId="42" fillId="0" borderId="18" xfId="0" applyFont="1" applyBorder="1" applyAlignment="1">
      <alignment horizontal="left" vertical="center" wrapText="1"/>
    </xf>
    <xf numFmtId="0" fontId="55" fillId="0" borderId="0" xfId="0" applyFont="1" applyBorder="1" applyAlignment="1">
      <alignment horizontal="right" vertical="top" wrapText="1" readingOrder="1"/>
    </xf>
    <xf numFmtId="0" fontId="63" fillId="0" borderId="0" xfId="0" applyFont="1" applyAlignment="1">
      <alignment horizontal="center" vertical="top" wrapText="1"/>
    </xf>
    <xf numFmtId="0" fontId="56" fillId="0" borderId="11" xfId="0" applyFont="1" applyBorder="1" applyAlignment="1">
      <alignment horizontal="center" vertical="top" wrapText="1"/>
    </xf>
    <xf numFmtId="0" fontId="56" fillId="0" borderId="12" xfId="0" applyFont="1" applyBorder="1" applyAlignment="1">
      <alignment horizontal="center" vertical="top" wrapText="1"/>
    </xf>
    <xf numFmtId="0" fontId="56" fillId="0" borderId="16" xfId="0" applyFont="1" applyBorder="1" applyAlignment="1">
      <alignment horizontal="center" vertical="top" wrapText="1"/>
    </xf>
    <xf numFmtId="0" fontId="56" fillId="0" borderId="42" xfId="0" applyFont="1" applyBorder="1" applyAlignment="1">
      <alignment horizontal="center" vertical="top" wrapText="1"/>
    </xf>
    <xf numFmtId="0" fontId="56" fillId="0" borderId="52" xfId="0" applyFont="1" applyBorder="1" applyAlignment="1">
      <alignment horizontal="center" vertical="top" wrapText="1"/>
    </xf>
    <xf numFmtId="0" fontId="56" fillId="0" borderId="33" xfId="0" applyFont="1" applyBorder="1" applyAlignment="1">
      <alignment horizontal="center" vertical="top" wrapText="1"/>
    </xf>
    <xf numFmtId="49" fontId="55" fillId="0" borderId="12" xfId="0" applyNumberFormat="1" applyFont="1" applyBorder="1" applyAlignment="1">
      <alignment horizontal="left" vertical="top" wrapText="1"/>
    </xf>
    <xf numFmtId="0" fontId="0" fillId="0" borderId="29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12" xfId="0" applyBorder="1" applyAlignment="1">
      <alignment wrapText="1"/>
    </xf>
    <xf numFmtId="0" fontId="64" fillId="0" borderId="11" xfId="0" applyFont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1" xfId="0" applyBorder="1" applyAlignment="1">
      <alignment/>
    </xf>
    <xf numFmtId="0" fontId="55" fillId="0" borderId="12" xfId="0" applyFont="1" applyBorder="1" applyAlignment="1">
      <alignment horizontal="center" wrapText="1"/>
    </xf>
    <xf numFmtId="0" fontId="55" fillId="0" borderId="16" xfId="0" applyFont="1" applyBorder="1" applyAlignment="1">
      <alignment horizontal="center" wrapText="1"/>
    </xf>
    <xf numFmtId="170" fontId="55" fillId="0" borderId="11" xfId="0" applyNumberFormat="1" applyFont="1" applyBorder="1" applyAlignment="1">
      <alignment horizontal="center" vertical="top" wrapText="1"/>
    </xf>
    <xf numFmtId="49" fontId="55" fillId="0" borderId="12" xfId="0" applyNumberFormat="1" applyFont="1" applyBorder="1" applyAlignment="1">
      <alignment horizontal="center" vertical="top" wrapText="1"/>
    </xf>
    <xf numFmtId="0" fontId="0" fillId="0" borderId="29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49" fontId="56" fillId="0" borderId="11" xfId="0" applyNumberFormat="1" applyFont="1" applyBorder="1" applyAlignment="1">
      <alignment horizontal="left" vertical="top" wrapText="1"/>
    </xf>
    <xf numFmtId="0" fontId="55" fillId="0" borderId="16" xfId="0" applyFont="1" applyBorder="1" applyAlignment="1">
      <alignment horizontal="center" vertical="top" wrapText="1"/>
    </xf>
    <xf numFmtId="0" fontId="55" fillId="0" borderId="12" xfId="0" applyFont="1" applyBorder="1" applyAlignment="1">
      <alignment horizontal="left" vertical="top" wrapText="1"/>
    </xf>
    <xf numFmtId="0" fontId="55" fillId="0" borderId="16" xfId="0" applyFont="1" applyBorder="1" applyAlignment="1">
      <alignment horizontal="left" vertical="top" wrapText="1"/>
    </xf>
    <xf numFmtId="0" fontId="55" fillId="0" borderId="53" xfId="0" applyFont="1" applyBorder="1" applyAlignment="1">
      <alignment horizontal="center" vertical="top" wrapText="1"/>
    </xf>
    <xf numFmtId="49" fontId="55" fillId="0" borderId="29" xfId="0" applyNumberFormat="1" applyFont="1" applyBorder="1" applyAlignment="1">
      <alignment horizontal="left" vertical="top" wrapText="1"/>
    </xf>
    <xf numFmtId="49" fontId="56" fillId="0" borderId="29" xfId="0" applyNumberFormat="1" applyFont="1" applyBorder="1" applyAlignment="1">
      <alignment horizontal="left" vertical="top" wrapText="1"/>
    </xf>
    <xf numFmtId="49" fontId="55" fillId="0" borderId="29" xfId="0" applyNumberFormat="1" applyFont="1" applyBorder="1" applyAlignment="1">
      <alignment horizontal="center" vertical="top" wrapText="1"/>
    </xf>
    <xf numFmtId="0" fontId="55" fillId="0" borderId="11" xfId="0" applyFont="1" applyBorder="1" applyAlignment="1">
      <alignment horizontal="center" wrapText="1"/>
    </xf>
    <xf numFmtId="0" fontId="55" fillId="0" borderId="32" xfId="0" applyFont="1" applyBorder="1" applyAlignment="1">
      <alignment horizontal="center" vertical="top" wrapText="1" readingOrder="1"/>
    </xf>
    <xf numFmtId="0" fontId="0" fillId="0" borderId="40" xfId="0" applyBorder="1" applyAlignment="1">
      <alignment horizontal="center" vertical="top" wrapText="1" readingOrder="1"/>
    </xf>
    <xf numFmtId="0" fontId="0" fillId="0" borderId="30" xfId="0" applyBorder="1" applyAlignment="1">
      <alignment horizontal="center" vertical="top" wrapText="1" readingOrder="1"/>
    </xf>
    <xf numFmtId="0" fontId="0" fillId="0" borderId="29" xfId="0" applyFont="1" applyBorder="1" applyAlignment="1">
      <alignment horizontal="left" vertical="top" wrapText="1" readingOrder="1"/>
    </xf>
    <xf numFmtId="0" fontId="55" fillId="0" borderId="15" xfId="0" applyFont="1" applyBorder="1" applyAlignment="1">
      <alignment horizontal="center" vertical="top" wrapText="1" readingOrder="1"/>
    </xf>
    <xf numFmtId="0" fontId="0" fillId="0" borderId="50" xfId="0" applyBorder="1" applyAlignment="1">
      <alignment horizontal="center" vertical="top" wrapText="1" readingOrder="1"/>
    </xf>
    <xf numFmtId="0" fontId="55" fillId="0" borderId="10" xfId="0" applyFont="1" applyBorder="1" applyAlignment="1">
      <alignment horizontal="center" vertical="top" wrapText="1" readingOrder="1"/>
    </xf>
    <xf numFmtId="0" fontId="0" fillId="0" borderId="0" xfId="0" applyBorder="1" applyAlignment="1">
      <alignment horizontal="center" vertical="top" wrapText="1" readingOrder="1"/>
    </xf>
    <xf numFmtId="0" fontId="0" fillId="0" borderId="51" xfId="0" applyBorder="1" applyAlignment="1">
      <alignment horizontal="center" vertical="top" wrapText="1" readingOrder="1"/>
    </xf>
    <xf numFmtId="0" fontId="0" fillId="0" borderId="31" xfId="0" applyBorder="1" applyAlignment="1">
      <alignment horizontal="center" vertical="top" wrapText="1" readingOrder="1"/>
    </xf>
    <xf numFmtId="0" fontId="0" fillId="0" borderId="16" xfId="0" applyFont="1" applyBorder="1" applyAlignment="1">
      <alignment horizontal="left" vertical="top" wrapText="1" readingOrder="1"/>
    </xf>
    <xf numFmtId="49" fontId="0" fillId="0" borderId="29" xfId="0" applyNumberFormat="1" applyBorder="1" applyAlignment="1">
      <alignment horizontal="center" vertical="top" wrapText="1" readingOrder="1"/>
    </xf>
    <xf numFmtId="49" fontId="0" fillId="0" borderId="16" xfId="0" applyNumberFormat="1" applyBorder="1" applyAlignment="1">
      <alignment horizontal="center" vertical="top" wrapText="1" readingOrder="1"/>
    </xf>
    <xf numFmtId="0" fontId="55" fillId="0" borderId="15" xfId="0" applyFont="1" applyBorder="1" applyAlignment="1">
      <alignment horizontal="left" vertical="top" wrapText="1" readingOrder="1"/>
    </xf>
    <xf numFmtId="0" fontId="0" fillId="0" borderId="50" xfId="0" applyBorder="1" applyAlignment="1">
      <alignment horizontal="left" vertical="top" wrapText="1" readingOrder="1"/>
    </xf>
    <xf numFmtId="0" fontId="0" fillId="0" borderId="31" xfId="0" applyBorder="1" applyAlignment="1">
      <alignment horizontal="left" vertical="top" wrapText="1" readingOrder="1"/>
    </xf>
    <xf numFmtId="0" fontId="0" fillId="0" borderId="11" xfId="0" applyBorder="1" applyAlignment="1">
      <alignment vertical="top" wrapText="1" readingOrder="1"/>
    </xf>
    <xf numFmtId="0" fontId="55" fillId="0" borderId="30" xfId="0" applyFont="1" applyBorder="1" applyAlignment="1">
      <alignment horizontal="center" vertical="top" wrapText="1"/>
    </xf>
    <xf numFmtId="0" fontId="55" fillId="0" borderId="33" xfId="0" applyFont="1" applyBorder="1" applyAlignment="1">
      <alignment horizontal="center" vertical="top" wrapText="1"/>
    </xf>
    <xf numFmtId="0" fontId="55" fillId="0" borderId="32" xfId="0" applyFont="1" applyBorder="1" applyAlignment="1">
      <alignment horizontal="center" vertical="top" wrapText="1"/>
    </xf>
    <xf numFmtId="0" fontId="0" fillId="0" borderId="11" xfId="0" applyBorder="1" applyAlignment="1">
      <alignment vertical="top" wrapText="1"/>
    </xf>
    <xf numFmtId="0" fontId="55" fillId="0" borderId="11" xfId="0" applyFont="1" applyBorder="1" applyAlignment="1">
      <alignment horizontal="left" vertical="top" wrapText="1" readingOrder="1"/>
    </xf>
    <xf numFmtId="0" fontId="0" fillId="0" borderId="11" xfId="0" applyBorder="1" applyAlignment="1">
      <alignment horizontal="center" vertical="center" wrapText="1"/>
    </xf>
    <xf numFmtId="170" fontId="56" fillId="0" borderId="45" xfId="0" applyNumberFormat="1" applyFont="1" applyBorder="1" applyAlignment="1">
      <alignment horizontal="center" vertical="top" wrapText="1"/>
    </xf>
    <xf numFmtId="170" fontId="56" fillId="0" borderId="16" xfId="0" applyNumberFormat="1" applyFont="1" applyBorder="1" applyAlignment="1">
      <alignment horizontal="center" vertical="top" wrapText="1"/>
    </xf>
    <xf numFmtId="0" fontId="55" fillId="0" borderId="29" xfId="0" applyFont="1" applyBorder="1" applyAlignment="1">
      <alignment horizontal="center" vertical="top" wrapText="1" readingOrder="1"/>
    </xf>
    <xf numFmtId="0" fontId="55" fillId="0" borderId="16" xfId="0" applyFont="1" applyBorder="1" applyAlignment="1">
      <alignment horizontal="center" vertical="top" wrapText="1" readingOrder="1"/>
    </xf>
    <xf numFmtId="0" fontId="55" fillId="0" borderId="16" xfId="0" applyFont="1" applyBorder="1" applyAlignment="1">
      <alignment horizontal="left" vertical="top" wrapText="1" readingOrder="1"/>
    </xf>
    <xf numFmtId="0" fontId="56" fillId="0" borderId="42" xfId="0" applyFont="1" applyBorder="1" applyAlignment="1">
      <alignment horizontal="left" vertical="top" wrapText="1" readingOrder="1"/>
    </xf>
    <xf numFmtId="0" fontId="56" fillId="0" borderId="52" xfId="0" applyFont="1" applyBorder="1" applyAlignment="1">
      <alignment horizontal="left" vertical="top" wrapText="1" readingOrder="1"/>
    </xf>
    <xf numFmtId="0" fontId="56" fillId="0" borderId="51" xfId="0" applyFont="1" applyBorder="1" applyAlignment="1">
      <alignment horizontal="left" vertical="top" wrapText="1" readingOrder="1"/>
    </xf>
    <xf numFmtId="0" fontId="56" fillId="0" borderId="33" xfId="0" applyFont="1" applyBorder="1" applyAlignment="1">
      <alignment horizontal="left" vertical="top" wrapText="1" readingOrder="1"/>
    </xf>
    <xf numFmtId="170" fontId="56" fillId="0" borderId="45" xfId="0" applyNumberFormat="1" applyFont="1" applyFill="1" applyBorder="1" applyAlignment="1">
      <alignment horizontal="center" vertical="top" wrapText="1"/>
    </xf>
    <xf numFmtId="170" fontId="56" fillId="0" borderId="16" xfId="0" applyNumberFormat="1" applyFont="1" applyFill="1" applyBorder="1" applyAlignment="1">
      <alignment horizontal="center" vertical="top" wrapText="1"/>
    </xf>
    <xf numFmtId="170" fontId="56" fillId="0" borderId="44" xfId="0" applyNumberFormat="1" applyFont="1" applyBorder="1" applyAlignment="1">
      <alignment horizontal="center" vertical="top" wrapText="1"/>
    </xf>
    <xf numFmtId="170" fontId="56" fillId="0" borderId="54" xfId="0" applyNumberFormat="1" applyFont="1" applyBorder="1" applyAlignment="1">
      <alignment horizontal="center" vertical="top" wrapText="1"/>
    </xf>
    <xf numFmtId="170" fontId="56" fillId="33" borderId="48" xfId="0" applyNumberFormat="1" applyFont="1" applyFill="1" applyBorder="1" applyAlignment="1">
      <alignment horizontal="center" vertical="top" wrapText="1"/>
    </xf>
    <xf numFmtId="170" fontId="56" fillId="33" borderId="11" xfId="0" applyNumberFormat="1" applyFont="1" applyFill="1" applyBorder="1" applyAlignment="1">
      <alignment horizontal="center" vertical="top" wrapText="1"/>
    </xf>
    <xf numFmtId="0" fontId="55" fillId="0" borderId="11" xfId="0" applyFont="1" applyBorder="1" applyAlignment="1">
      <alignment horizontal="center" vertical="center" wrapText="1" readingOrder="1"/>
    </xf>
    <xf numFmtId="0" fontId="56" fillId="0" borderId="31" xfId="0" applyFont="1" applyBorder="1" applyAlignment="1">
      <alignment horizontal="left" vertical="top" wrapText="1" readingOrder="1"/>
    </xf>
    <xf numFmtId="0" fontId="56" fillId="0" borderId="30" xfId="0" applyFont="1" applyBorder="1" applyAlignment="1">
      <alignment horizontal="left" vertical="top" wrapText="1" readingOrder="1"/>
    </xf>
    <xf numFmtId="170" fontId="56" fillId="33" borderId="49" xfId="0" applyNumberFormat="1" applyFont="1" applyFill="1" applyBorder="1" applyAlignment="1">
      <alignment horizontal="center" vertical="top" wrapText="1"/>
    </xf>
    <xf numFmtId="170" fontId="56" fillId="33" borderId="22" xfId="0" applyNumberFormat="1" applyFont="1" applyFill="1" applyBorder="1" applyAlignment="1">
      <alignment horizontal="center" vertical="top" wrapText="1"/>
    </xf>
    <xf numFmtId="170" fontId="56" fillId="0" borderId="48" xfId="0" applyNumberFormat="1" applyFont="1" applyBorder="1" applyAlignment="1">
      <alignment horizontal="center" vertical="top" wrapText="1"/>
    </xf>
    <xf numFmtId="170" fontId="56" fillId="0" borderId="11" xfId="0" applyNumberFormat="1" applyFont="1" applyBorder="1" applyAlignment="1">
      <alignment horizontal="center" vertical="top" wrapText="1"/>
    </xf>
    <xf numFmtId="170" fontId="56" fillId="0" borderId="49" xfId="0" applyNumberFormat="1" applyFont="1" applyBorder="1" applyAlignment="1">
      <alignment horizontal="center" vertical="top" wrapText="1"/>
    </xf>
    <xf numFmtId="170" fontId="56" fillId="0" borderId="22" xfId="0" applyNumberFormat="1" applyFont="1" applyBorder="1" applyAlignment="1">
      <alignment horizontal="center" vertical="top" wrapText="1"/>
    </xf>
    <xf numFmtId="0" fontId="55" fillId="0" borderId="40" xfId="0" applyFont="1" applyBorder="1" applyAlignment="1">
      <alignment horizontal="center" vertical="top" wrapText="1"/>
    </xf>
    <xf numFmtId="170" fontId="55" fillId="34" borderId="12" xfId="0" applyNumberFormat="1" applyFont="1" applyFill="1" applyBorder="1" applyAlignment="1">
      <alignment horizontal="center" vertical="top" readingOrder="1"/>
    </xf>
    <xf numFmtId="170" fontId="55" fillId="0" borderId="12" xfId="0" applyNumberFormat="1" applyFont="1" applyBorder="1" applyAlignment="1">
      <alignment horizontal="center" vertical="top" readingOrder="1"/>
    </xf>
    <xf numFmtId="0" fontId="55" fillId="0" borderId="12" xfId="0" applyFont="1" applyBorder="1" applyAlignment="1">
      <alignment vertical="top" wrapText="1" readingOrder="1"/>
    </xf>
    <xf numFmtId="0" fontId="57" fillId="0" borderId="16" xfId="0" applyFont="1" applyBorder="1" applyAlignment="1">
      <alignment vertical="top" wrapText="1" readingOrder="1"/>
    </xf>
    <xf numFmtId="0" fontId="55" fillId="0" borderId="42" xfId="0" applyFont="1" applyBorder="1" applyAlignment="1">
      <alignment horizontal="center" vertical="top" readingOrder="1"/>
    </xf>
    <xf numFmtId="0" fontId="55" fillId="0" borderId="12" xfId="0" applyFont="1" applyBorder="1" applyAlignment="1">
      <alignment horizontal="center" vertical="top" readingOrder="1"/>
    </xf>
    <xf numFmtId="0" fontId="57" fillId="0" borderId="29" xfId="0" applyFont="1" applyBorder="1" applyAlignment="1">
      <alignment horizontal="center" vertical="top" readingOrder="1"/>
    </xf>
    <xf numFmtId="0" fontId="57" fillId="0" borderId="29" xfId="0" applyFont="1" applyBorder="1" applyAlignment="1">
      <alignment vertical="top" wrapText="1"/>
    </xf>
    <xf numFmtId="0" fontId="55" fillId="0" borderId="29" xfId="0" applyFont="1" applyBorder="1" applyAlignment="1">
      <alignment horizontal="center" vertical="top" readingOrder="1"/>
    </xf>
    <xf numFmtId="0" fontId="55" fillId="0" borderId="16" xfId="0" applyFont="1" applyBorder="1" applyAlignment="1">
      <alignment horizontal="center" vertical="top" readingOrder="1"/>
    </xf>
    <xf numFmtId="0" fontId="56" fillId="0" borderId="31" xfId="0" applyFont="1" applyBorder="1" applyAlignment="1">
      <alignment vertical="top" wrapText="1"/>
    </xf>
    <xf numFmtId="0" fontId="55" fillId="0" borderId="29" xfId="0" applyFont="1" applyBorder="1" applyAlignment="1">
      <alignment horizontal="left" vertical="top" wrapText="1"/>
    </xf>
    <xf numFmtId="170" fontId="55" fillId="0" borderId="29" xfId="0" applyNumberFormat="1" applyFont="1" applyBorder="1" applyAlignment="1">
      <alignment horizontal="center" vertical="top" readingOrder="1"/>
    </xf>
    <xf numFmtId="0" fontId="57" fillId="0" borderId="29" xfId="0" applyFont="1" applyBorder="1" applyAlignment="1">
      <alignment vertical="top" wrapText="1" readingOrder="1"/>
    </xf>
    <xf numFmtId="0" fontId="57" fillId="0" borderId="16" xfId="0" applyFont="1" applyBorder="1" applyAlignment="1">
      <alignment horizontal="center" vertical="top" readingOrder="1"/>
    </xf>
    <xf numFmtId="0" fontId="56" fillId="0" borderId="31" xfId="0" applyFont="1" applyBorder="1" applyAlignment="1">
      <alignment vertical="top" wrapText="1" readingOrder="1"/>
    </xf>
    <xf numFmtId="0" fontId="56" fillId="0" borderId="42" xfId="0" applyFont="1" applyBorder="1" applyAlignment="1">
      <alignment vertical="top" wrapText="1"/>
    </xf>
    <xf numFmtId="0" fontId="65" fillId="0" borderId="52" xfId="0" applyFont="1" applyBorder="1" applyAlignment="1">
      <alignment vertical="top" wrapText="1"/>
    </xf>
    <xf numFmtId="0" fontId="65" fillId="0" borderId="33" xfId="0" applyFont="1" applyBorder="1" applyAlignment="1">
      <alignment vertical="top" wrapText="1"/>
    </xf>
    <xf numFmtId="0" fontId="55" fillId="0" borderId="0" xfId="0" applyFont="1" applyBorder="1" applyAlignment="1">
      <alignment horizontal="right" vertical="center" wrapText="1" readingOrder="1"/>
    </xf>
    <xf numFmtId="170" fontId="56" fillId="33" borderId="48" xfId="0" applyNumberFormat="1" applyFont="1" applyFill="1" applyBorder="1" applyAlignment="1">
      <alignment horizontal="center" vertical="center" wrapText="1"/>
    </xf>
    <xf numFmtId="170" fontId="56" fillId="33" borderId="11" xfId="0" applyNumberFormat="1" applyFont="1" applyFill="1" applyBorder="1" applyAlignment="1">
      <alignment horizontal="center" vertical="center" wrapText="1"/>
    </xf>
    <xf numFmtId="170" fontId="56" fillId="33" borderId="49" xfId="0" applyNumberFormat="1" applyFont="1" applyFill="1" applyBorder="1" applyAlignment="1">
      <alignment horizontal="center" vertical="center" wrapText="1"/>
    </xf>
    <xf numFmtId="170" fontId="56" fillId="33" borderId="22" xfId="0" applyNumberFormat="1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top" wrapText="1"/>
    </xf>
    <xf numFmtId="0" fontId="56" fillId="0" borderId="12" xfId="0" applyFont="1" applyBorder="1" applyAlignment="1">
      <alignment horizontal="left" vertical="top" wrapText="1" readingOrder="1"/>
    </xf>
    <xf numFmtId="0" fontId="56" fillId="0" borderId="29" xfId="0" applyFont="1" applyBorder="1" applyAlignment="1">
      <alignment horizontal="left" vertical="top" wrapText="1" readingOrder="1"/>
    </xf>
    <xf numFmtId="0" fontId="55" fillId="0" borderId="50" xfId="0" applyFont="1" applyBorder="1" applyAlignment="1">
      <alignment horizontal="center" vertical="top" wrapText="1" readingOrder="1"/>
    </xf>
    <xf numFmtId="0" fontId="56" fillId="0" borderId="12" xfId="0" applyFont="1" applyBorder="1" applyAlignment="1">
      <alignment vertical="top" wrapText="1"/>
    </xf>
    <xf numFmtId="0" fontId="56" fillId="0" borderId="29" xfId="0" applyFont="1" applyBorder="1" applyAlignment="1">
      <alignment vertical="top" wrapText="1"/>
    </xf>
    <xf numFmtId="0" fontId="55" fillId="0" borderId="50" xfId="0" applyFont="1" applyBorder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1" fontId="55" fillId="0" borderId="12" xfId="0" applyNumberFormat="1" applyFont="1" applyBorder="1" applyAlignment="1">
      <alignment horizontal="center" vertical="center" wrapText="1" readingOrder="1"/>
    </xf>
    <xf numFmtId="0" fontId="56" fillId="0" borderId="11" xfId="0" applyFont="1" applyBorder="1" applyAlignment="1">
      <alignment horizontal="left" vertical="center" wrapText="1" readingOrder="1"/>
    </xf>
    <xf numFmtId="0" fontId="56" fillId="0" borderId="16" xfId="0" applyFont="1" applyBorder="1" applyAlignment="1">
      <alignment horizontal="left" vertical="center" wrapText="1" readingOrder="1"/>
    </xf>
    <xf numFmtId="0" fontId="0" fillId="0" borderId="29" xfId="0" applyBorder="1" applyAlignment="1">
      <alignment horizontal="center" vertical="top" readingOrder="1"/>
    </xf>
    <xf numFmtId="0" fontId="0" fillId="0" borderId="16" xfId="0" applyBorder="1" applyAlignment="1">
      <alignment horizontal="center" vertical="top" readingOrder="1"/>
    </xf>
    <xf numFmtId="170" fontId="55" fillId="34" borderId="29" xfId="0" applyNumberFormat="1" applyFont="1" applyFill="1" applyBorder="1" applyAlignment="1">
      <alignment horizontal="center" vertical="top" readingOrder="1"/>
    </xf>
    <xf numFmtId="170" fontId="55" fillId="33" borderId="11" xfId="0" applyNumberFormat="1" applyFont="1" applyFill="1" applyBorder="1" applyAlignment="1">
      <alignment horizontal="center" vertical="top" readingOrder="1"/>
    </xf>
    <xf numFmtId="170" fontId="55" fillId="33" borderId="12" xfId="0" applyNumberFormat="1" applyFont="1" applyFill="1" applyBorder="1" applyAlignment="1">
      <alignment horizontal="center" vertical="top" readingOrder="1"/>
    </xf>
    <xf numFmtId="0" fontId="56" fillId="0" borderId="17" xfId="0" applyFont="1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56" fillId="0" borderId="52" xfId="0" applyFont="1" applyBorder="1" applyAlignment="1">
      <alignment horizontal="left" vertical="center" wrapText="1"/>
    </xf>
    <xf numFmtId="0" fontId="56" fillId="0" borderId="33" xfId="0" applyFont="1" applyBorder="1" applyAlignment="1">
      <alignment horizontal="left" vertical="center" wrapText="1"/>
    </xf>
    <xf numFmtId="0" fontId="55" fillId="0" borderId="11" xfId="0" applyFont="1" applyBorder="1" applyAlignment="1">
      <alignment vertical="top" readingOrder="1"/>
    </xf>
    <xf numFmtId="0" fontId="0" fillId="0" borderId="11" xfId="0" applyBorder="1" applyAlignment="1">
      <alignment horizontal="left" wrapText="1"/>
    </xf>
    <xf numFmtId="0" fontId="55" fillId="0" borderId="11" xfId="0" applyFont="1" applyBorder="1" applyAlignment="1">
      <alignment vertical="top" wrapText="1" readingOrder="1"/>
    </xf>
    <xf numFmtId="0" fontId="0" fillId="0" borderId="11" xfId="0" applyBorder="1" applyAlignment="1">
      <alignment readingOrder="1"/>
    </xf>
    <xf numFmtId="0" fontId="55" fillId="0" borderId="11" xfId="0" applyFont="1" applyBorder="1" applyAlignment="1">
      <alignment horizontal="center" vertical="top" readingOrder="1"/>
    </xf>
    <xf numFmtId="0" fontId="63" fillId="0" borderId="0" xfId="0" applyFont="1" applyAlignment="1">
      <alignment horizontal="center" vertical="center" wrapText="1"/>
    </xf>
    <xf numFmtId="0" fontId="56" fillId="0" borderId="12" xfId="0" applyFont="1" applyBorder="1" applyAlignment="1">
      <alignment horizontal="center" vertical="top" wrapText="1" readingOrder="1"/>
    </xf>
    <xf numFmtId="0" fontId="56" fillId="0" borderId="16" xfId="0" applyFont="1" applyBorder="1" applyAlignment="1">
      <alignment horizontal="center" vertical="top" wrapText="1" readingOrder="1"/>
    </xf>
    <xf numFmtId="0" fontId="56" fillId="0" borderId="42" xfId="0" applyFont="1" applyBorder="1" applyAlignment="1">
      <alignment horizontal="center" vertical="center" wrapText="1"/>
    </xf>
    <xf numFmtId="0" fontId="56" fillId="0" borderId="52" xfId="0" applyFont="1" applyBorder="1" applyAlignment="1">
      <alignment horizontal="center" vertical="center" wrapText="1"/>
    </xf>
    <xf numFmtId="0" fontId="56" fillId="0" borderId="33" xfId="0" applyFont="1" applyBorder="1" applyAlignment="1">
      <alignment horizontal="center" vertical="center" wrapText="1"/>
    </xf>
    <xf numFmtId="0" fontId="56" fillId="0" borderId="15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6" fillId="0" borderId="32" xfId="0" applyFont="1" applyBorder="1" applyAlignment="1">
      <alignment horizontal="center" vertical="center" wrapText="1"/>
    </xf>
    <xf numFmtId="49" fontId="55" fillId="0" borderId="15" xfId="0" applyNumberFormat="1" applyFont="1" applyBorder="1" applyAlignment="1">
      <alignment horizontal="center" vertical="top" wrapText="1" readingOrder="1"/>
    </xf>
    <xf numFmtId="49" fontId="55" fillId="0" borderId="31" xfId="0" applyNumberFormat="1" applyFont="1" applyBorder="1" applyAlignment="1">
      <alignment horizontal="center" vertical="top" wrapText="1" readingOrder="1"/>
    </xf>
    <xf numFmtId="49" fontId="55" fillId="0" borderId="12" xfId="0" applyNumberFormat="1" applyFont="1" applyBorder="1" applyAlignment="1">
      <alignment horizontal="center" vertical="top" readingOrder="1"/>
    </xf>
    <xf numFmtId="49" fontId="55" fillId="0" borderId="16" xfId="0" applyNumberFormat="1" applyFont="1" applyBorder="1" applyAlignment="1">
      <alignment horizontal="center" vertical="top" readingOrder="1"/>
    </xf>
    <xf numFmtId="170" fontId="56" fillId="0" borderId="34" xfId="0" applyNumberFormat="1" applyFont="1" applyBorder="1" applyAlignment="1">
      <alignment horizontal="center" vertical="top" wrapText="1"/>
    </xf>
    <xf numFmtId="170" fontId="56" fillId="0" borderId="28" xfId="0" applyNumberFormat="1" applyFont="1" applyBorder="1" applyAlignment="1">
      <alignment horizontal="center" vertical="top" wrapText="1"/>
    </xf>
    <xf numFmtId="49" fontId="55" fillId="0" borderId="16" xfId="0" applyNumberFormat="1" applyFont="1" applyBorder="1" applyAlignment="1">
      <alignment horizontal="left" vertical="top" wrapText="1" readingOrder="1"/>
    </xf>
    <xf numFmtId="0" fontId="55" fillId="0" borderId="12" xfId="0" applyNumberFormat="1" applyFont="1" applyBorder="1" applyAlignment="1">
      <alignment horizontal="center" vertical="center" wrapText="1" readingOrder="1"/>
    </xf>
    <xf numFmtId="0" fontId="55" fillId="0" borderId="29" xfId="0" applyNumberFormat="1" applyFont="1" applyBorder="1" applyAlignment="1">
      <alignment horizontal="center" vertical="center" wrapText="1" readingOrder="1"/>
    </xf>
    <xf numFmtId="0" fontId="55" fillId="0" borderId="16" xfId="0" applyNumberFormat="1" applyFont="1" applyBorder="1" applyAlignment="1">
      <alignment horizontal="center" vertical="center" wrapText="1" readingOrder="1"/>
    </xf>
    <xf numFmtId="49" fontId="55" fillId="0" borderId="29" xfId="0" applyNumberFormat="1" applyFont="1" applyBorder="1" applyAlignment="1">
      <alignment horizontal="center" vertical="top" readingOrder="1"/>
    </xf>
    <xf numFmtId="0" fontId="56" fillId="0" borderId="11" xfId="0" applyNumberFormat="1" applyFont="1" applyBorder="1" applyAlignment="1" applyProtection="1">
      <alignment horizontal="left" vertical="top" wrapText="1"/>
      <protection locked="0"/>
    </xf>
    <xf numFmtId="0" fontId="56" fillId="0" borderId="37" xfId="0" applyFont="1" applyBorder="1" applyAlignment="1">
      <alignment horizontal="center" vertical="top" wrapText="1"/>
    </xf>
    <xf numFmtId="0" fontId="56" fillId="0" borderId="55" xfId="0" applyFont="1" applyBorder="1" applyAlignment="1">
      <alignment horizontal="center" vertical="top" wrapText="1"/>
    </xf>
    <xf numFmtId="0" fontId="56" fillId="0" borderId="13" xfId="0" applyFont="1" applyBorder="1" applyAlignment="1">
      <alignment vertical="top" wrapText="1"/>
    </xf>
    <xf numFmtId="0" fontId="56" fillId="0" borderId="56" xfId="0" applyFont="1" applyBorder="1" applyAlignment="1">
      <alignment vertical="top" wrapText="1"/>
    </xf>
    <xf numFmtId="0" fontId="55" fillId="0" borderId="57" xfId="0" applyFont="1" applyBorder="1" applyAlignment="1">
      <alignment horizontal="center" vertical="top" wrapText="1"/>
    </xf>
    <xf numFmtId="0" fontId="55" fillId="0" borderId="58" xfId="0" applyFont="1" applyBorder="1" applyAlignment="1">
      <alignment horizontal="center" vertical="top" wrapText="1"/>
    </xf>
    <xf numFmtId="170" fontId="56" fillId="0" borderId="59" xfId="0" applyNumberFormat="1" applyFont="1" applyBorder="1" applyAlignment="1">
      <alignment horizontal="center" vertical="top" wrapText="1"/>
    </xf>
    <xf numFmtId="170" fontId="56" fillId="0" borderId="27" xfId="0" applyNumberFormat="1" applyFont="1" applyBorder="1" applyAlignment="1">
      <alignment horizontal="center" vertical="top" wrapText="1"/>
    </xf>
    <xf numFmtId="170" fontId="56" fillId="0" borderId="60" xfId="0" applyNumberFormat="1" applyFont="1" applyBorder="1" applyAlignment="1">
      <alignment horizontal="center" vertical="top" wrapText="1"/>
    </xf>
    <xf numFmtId="170" fontId="56" fillId="0" borderId="21" xfId="0" applyNumberFormat="1" applyFont="1" applyBorder="1" applyAlignment="1">
      <alignment horizontal="center" vertical="top" wrapText="1"/>
    </xf>
    <xf numFmtId="170" fontId="56" fillId="0" borderId="38" xfId="0" applyNumberFormat="1" applyFont="1" applyBorder="1" applyAlignment="1">
      <alignment horizontal="center" vertical="center" wrapText="1"/>
    </xf>
    <xf numFmtId="170" fontId="56" fillId="0" borderId="61" xfId="0" applyNumberFormat="1" applyFont="1" applyBorder="1" applyAlignment="1">
      <alignment horizontal="center" vertical="center" wrapText="1"/>
    </xf>
    <xf numFmtId="0" fontId="56" fillId="0" borderId="14" xfId="0" applyFont="1" applyBorder="1" applyAlignment="1">
      <alignment vertical="top" wrapText="1"/>
    </xf>
    <xf numFmtId="0" fontId="55" fillId="0" borderId="62" xfId="0" applyFont="1" applyBorder="1" applyAlignment="1">
      <alignment horizontal="center" vertical="top" wrapText="1"/>
    </xf>
    <xf numFmtId="0" fontId="56" fillId="0" borderId="59" xfId="0" applyFont="1" applyBorder="1" applyAlignment="1">
      <alignment horizontal="left" vertical="center" wrapText="1"/>
    </xf>
    <xf numFmtId="0" fontId="56" fillId="0" borderId="27" xfId="0" applyFont="1" applyBorder="1" applyAlignment="1">
      <alignment horizontal="left" vertical="center" wrapText="1"/>
    </xf>
    <xf numFmtId="170" fontId="56" fillId="0" borderId="0" xfId="0" applyNumberFormat="1" applyFont="1" applyBorder="1" applyAlignment="1">
      <alignment horizontal="center" vertical="center" wrapText="1"/>
    </xf>
    <xf numFmtId="0" fontId="55" fillId="0" borderId="11" xfId="0" applyFont="1" applyBorder="1" applyAlignment="1">
      <alignment horizontal="left" wrapText="1" readingOrder="1"/>
    </xf>
    <xf numFmtId="0" fontId="56" fillId="0" borderId="63" xfId="0" applyFont="1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55" fillId="0" borderId="30" xfId="0" applyFont="1" applyBorder="1" applyAlignment="1">
      <alignment horizontal="center" vertical="center" wrapText="1"/>
    </xf>
    <xf numFmtId="170" fontId="56" fillId="0" borderId="44" xfId="0" applyNumberFormat="1" applyFont="1" applyBorder="1" applyAlignment="1">
      <alignment horizontal="center" vertical="center" wrapText="1"/>
    </xf>
    <xf numFmtId="170" fontId="56" fillId="0" borderId="54" xfId="0" applyNumberFormat="1" applyFont="1" applyBorder="1" applyAlignment="1">
      <alignment horizontal="center" vertical="center" wrapText="1"/>
    </xf>
    <xf numFmtId="0" fontId="56" fillId="0" borderId="37" xfId="0" applyFont="1" applyBorder="1" applyAlignment="1">
      <alignment horizontal="left" vertical="center" wrapText="1"/>
    </xf>
    <xf numFmtId="0" fontId="0" fillId="0" borderId="64" xfId="0" applyBorder="1" applyAlignment="1">
      <alignment horizontal="left" vertical="center" wrapText="1"/>
    </xf>
    <xf numFmtId="170" fontId="56" fillId="0" borderId="45" xfId="0" applyNumberFormat="1" applyFont="1" applyBorder="1" applyAlignment="1">
      <alignment horizontal="center" vertical="center" wrapText="1"/>
    </xf>
    <xf numFmtId="170" fontId="56" fillId="0" borderId="16" xfId="0" applyNumberFormat="1" applyFont="1" applyBorder="1" applyAlignment="1">
      <alignment horizontal="center" vertical="center" wrapText="1"/>
    </xf>
    <xf numFmtId="0" fontId="55" fillId="0" borderId="53" xfId="0" applyFont="1" applyBorder="1" applyAlignment="1">
      <alignment horizontal="center" vertical="center" wrapText="1"/>
    </xf>
    <xf numFmtId="170" fontId="55" fillId="0" borderId="53" xfId="0" applyNumberFormat="1" applyFont="1" applyBorder="1" applyAlignment="1">
      <alignment horizontal="center" vertical="center" wrapText="1" readingOrder="1"/>
    </xf>
    <xf numFmtId="0" fontId="0" fillId="0" borderId="30" xfId="0" applyBorder="1" applyAlignment="1">
      <alignment horizontal="left" vertical="center" wrapText="1" readingOrder="1"/>
    </xf>
    <xf numFmtId="0" fontId="55" fillId="0" borderId="29" xfId="0" applyFont="1" applyBorder="1" applyAlignment="1">
      <alignment vertical="top" wrapText="1"/>
    </xf>
    <xf numFmtId="0" fontId="56" fillId="0" borderId="65" xfId="0" applyFont="1" applyBorder="1" applyAlignment="1">
      <alignment horizontal="left" vertical="center" wrapText="1"/>
    </xf>
    <xf numFmtId="0" fontId="42" fillId="0" borderId="64" xfId="0" applyFont="1" applyBorder="1" applyAlignment="1">
      <alignment horizontal="left" vertical="center" wrapText="1"/>
    </xf>
    <xf numFmtId="0" fontId="55" fillId="0" borderId="12" xfId="0" applyFont="1" applyBorder="1" applyAlignment="1">
      <alignment vertical="top" readingOrder="1"/>
    </xf>
    <xf numFmtId="170" fontId="55" fillId="0" borderId="12" xfId="0" applyNumberFormat="1" applyFont="1" applyBorder="1" applyAlignment="1">
      <alignment vertical="top" readingOrder="1"/>
    </xf>
    <xf numFmtId="170" fontId="55" fillId="34" borderId="12" xfId="0" applyNumberFormat="1" applyFont="1" applyFill="1" applyBorder="1" applyAlignment="1">
      <alignment vertical="top" readingOrder="1"/>
    </xf>
    <xf numFmtId="0" fontId="57" fillId="0" borderId="53" xfId="0" applyFont="1" applyBorder="1" applyAlignment="1">
      <alignment vertical="top" readingOrder="1"/>
    </xf>
    <xf numFmtId="170" fontId="57" fillId="0" borderId="53" xfId="0" applyNumberFormat="1" applyFont="1" applyBorder="1" applyAlignment="1">
      <alignment vertical="top" readingOrder="1"/>
    </xf>
    <xf numFmtId="170" fontId="57" fillId="34" borderId="53" xfId="0" applyNumberFormat="1" applyFont="1" applyFill="1" applyBorder="1" applyAlignment="1">
      <alignment vertical="top" readingOrder="1"/>
    </xf>
    <xf numFmtId="0" fontId="57" fillId="0" borderId="50" xfId="0" applyFont="1" applyBorder="1" applyAlignment="1">
      <alignment horizontal="center" vertical="top" readingOrder="1"/>
    </xf>
    <xf numFmtId="0" fontId="56" fillId="0" borderId="51" xfId="0" applyFont="1" applyBorder="1" applyAlignment="1">
      <alignment vertical="top" wrapText="1"/>
    </xf>
    <xf numFmtId="0" fontId="56" fillId="0" borderId="30" xfId="0" applyFont="1" applyBorder="1" applyAlignment="1">
      <alignment vertical="top" wrapText="1"/>
    </xf>
    <xf numFmtId="0" fontId="56" fillId="0" borderId="51" xfId="0" applyFont="1" applyBorder="1" applyAlignment="1">
      <alignment vertical="top" wrapText="1" readingOrder="1"/>
    </xf>
    <xf numFmtId="0" fontId="56" fillId="0" borderId="30" xfId="0" applyFont="1" applyBorder="1" applyAlignment="1">
      <alignment vertical="top" wrapText="1" readingOrder="1"/>
    </xf>
    <xf numFmtId="0" fontId="55" fillId="0" borderId="15" xfId="0" applyFont="1" applyBorder="1" applyAlignment="1">
      <alignment horizontal="center" vertical="top" readingOrder="1"/>
    </xf>
    <xf numFmtId="0" fontId="57" fillId="0" borderId="50" xfId="0" applyFont="1" applyBorder="1" applyAlignment="1">
      <alignment horizontal="center" vertical="top" readingOrder="1"/>
    </xf>
    <xf numFmtId="0" fontId="0" fillId="0" borderId="29" xfId="0" applyBorder="1" applyAlignment="1">
      <alignment/>
    </xf>
    <xf numFmtId="0" fontId="56" fillId="0" borderId="12" xfId="0" applyFont="1" applyBorder="1" applyAlignment="1">
      <alignment vertical="top" wrapText="1" readingOrder="1"/>
    </xf>
    <xf numFmtId="170" fontId="56" fillId="0" borderId="12" xfId="0" applyNumberFormat="1" applyFont="1" applyBorder="1" applyAlignment="1">
      <alignment vertical="top" readingOrder="1"/>
    </xf>
    <xf numFmtId="170" fontId="56" fillId="34" borderId="12" xfId="0" applyNumberFormat="1" applyFont="1" applyFill="1" applyBorder="1" applyAlignment="1">
      <alignment vertical="top" readingOrder="1"/>
    </xf>
    <xf numFmtId="170" fontId="55" fillId="0" borderId="53" xfId="0" applyNumberFormat="1" applyFont="1" applyBorder="1" applyAlignment="1">
      <alignment horizontal="center" vertical="top" readingOrder="1"/>
    </xf>
    <xf numFmtId="170" fontId="56" fillId="0" borderId="11" xfId="0" applyNumberFormat="1" applyFont="1" applyBorder="1" applyAlignment="1">
      <alignment horizontal="center" vertical="top" readingOrder="1"/>
    </xf>
    <xf numFmtId="170" fontId="56" fillId="34" borderId="11" xfId="0" applyNumberFormat="1" applyFont="1" applyFill="1" applyBorder="1" applyAlignment="1">
      <alignment horizontal="center" vertical="top" readingOrder="1"/>
    </xf>
    <xf numFmtId="170" fontId="56" fillId="0" borderId="12" xfId="0" applyNumberFormat="1" applyFont="1" applyBorder="1" applyAlignment="1">
      <alignment horizontal="center" vertical="top" wrapText="1" readingOrder="1"/>
    </xf>
    <xf numFmtId="170" fontId="56" fillId="0" borderId="12" xfId="0" applyNumberFormat="1" applyFont="1" applyBorder="1" applyAlignment="1">
      <alignment horizontal="center" vertical="top" readingOrder="1"/>
    </xf>
    <xf numFmtId="170" fontId="56" fillId="34" borderId="12" xfId="0" applyNumberFormat="1" applyFont="1" applyFill="1" applyBorder="1" applyAlignment="1">
      <alignment horizontal="center" vertical="top" readingOrder="1"/>
    </xf>
    <xf numFmtId="0" fontId="55" fillId="0" borderId="53" xfId="0" applyFont="1" applyBorder="1" applyAlignment="1">
      <alignment horizontal="center" vertical="top" readingOrder="1"/>
    </xf>
    <xf numFmtId="170" fontId="55" fillId="34" borderId="12" xfId="0" applyNumberFormat="1" applyFont="1" applyFill="1" applyBorder="1" applyAlignment="1">
      <alignment horizontal="center" vertical="top" wrapText="1" readingOrder="1"/>
    </xf>
    <xf numFmtId="170" fontId="56" fillId="34" borderId="12" xfId="0" applyNumberFormat="1" applyFont="1" applyFill="1" applyBorder="1" applyAlignment="1">
      <alignment horizontal="center" vertical="top" wrapText="1" readingOrder="1"/>
    </xf>
    <xf numFmtId="170" fontId="56" fillId="0" borderId="12" xfId="0" applyNumberFormat="1" applyFont="1" applyBorder="1" applyAlignment="1">
      <alignment horizontal="center" vertical="top" readingOrder="1"/>
    </xf>
    <xf numFmtId="0" fontId="42" fillId="0" borderId="16" xfId="0" applyFont="1" applyBorder="1" applyAlignment="1">
      <alignment wrapText="1"/>
    </xf>
    <xf numFmtId="0" fontId="42" fillId="0" borderId="16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37"/>
  <sheetViews>
    <sheetView zoomScale="85" zoomScaleNormal="85" zoomScaleSheetLayoutView="100" zoomScalePageLayoutView="0" workbookViewId="0" topLeftCell="A1">
      <selection activeCell="K7" sqref="K7"/>
    </sheetView>
  </sheetViews>
  <sheetFormatPr defaultColWidth="9.140625" defaultRowHeight="15"/>
  <cols>
    <col min="1" max="1" width="3.28125" style="102" customWidth="1"/>
    <col min="2" max="2" width="15.8515625" style="52" customWidth="1"/>
    <col min="3" max="3" width="9.57421875" style="52" customWidth="1"/>
    <col min="4" max="4" width="17.8515625" style="52" customWidth="1"/>
    <col min="5" max="5" width="13.7109375" style="52" customWidth="1"/>
    <col min="6" max="6" width="15.140625" style="52" customWidth="1"/>
    <col min="7" max="9" width="16.421875" style="52" customWidth="1"/>
    <col min="10" max="16384" width="9.140625" style="52" customWidth="1"/>
  </cols>
  <sheetData>
    <row r="1" spans="1:12" ht="34.5" customHeight="1">
      <c r="A1" s="404" t="s">
        <v>203</v>
      </c>
      <c r="B1" s="405"/>
      <c r="C1" s="405"/>
      <c r="D1" s="405"/>
      <c r="E1" s="405"/>
      <c r="F1" s="405"/>
      <c r="G1" s="405"/>
      <c r="H1" s="405"/>
      <c r="I1" s="405"/>
      <c r="J1" s="89"/>
      <c r="K1" s="89"/>
      <c r="L1" s="89"/>
    </row>
    <row r="2" spans="1:12" ht="21.75" customHeight="1">
      <c r="A2" s="406" t="s">
        <v>298</v>
      </c>
      <c r="B2" s="407"/>
      <c r="C2" s="407"/>
      <c r="D2" s="407"/>
      <c r="E2" s="407"/>
      <c r="F2" s="407"/>
      <c r="G2" s="407"/>
      <c r="H2" s="407"/>
      <c r="I2" s="407"/>
      <c r="J2" s="89"/>
      <c r="K2" s="89"/>
      <c r="L2" s="89"/>
    </row>
    <row r="3" spans="1:12" ht="26.25" customHeight="1">
      <c r="A3" s="408"/>
      <c r="B3" s="409"/>
      <c r="C3" s="409"/>
      <c r="D3" s="409"/>
      <c r="E3" s="409"/>
      <c r="F3" s="409"/>
      <c r="G3" s="409"/>
      <c r="H3" s="409"/>
      <c r="I3" s="409"/>
      <c r="J3" s="89"/>
      <c r="K3" s="89"/>
      <c r="L3" s="89"/>
    </row>
    <row r="4" spans="1:12" ht="9.75" customHeight="1">
      <c r="A4" s="415"/>
      <c r="B4" s="415"/>
      <c r="C4" s="415"/>
      <c r="D4" s="403" t="s">
        <v>54</v>
      </c>
      <c r="E4" s="403">
        <v>2014</v>
      </c>
      <c r="F4" s="403">
        <v>2015</v>
      </c>
      <c r="G4" s="403">
        <v>2016</v>
      </c>
      <c r="H4" s="403">
        <v>2017</v>
      </c>
      <c r="I4" s="403">
        <v>2018</v>
      </c>
      <c r="J4" s="89"/>
      <c r="K4" s="89"/>
      <c r="L4" s="89"/>
    </row>
    <row r="5" spans="1:9" ht="6.75" customHeight="1">
      <c r="A5" s="415"/>
      <c r="B5" s="415"/>
      <c r="C5" s="415"/>
      <c r="D5" s="403"/>
      <c r="E5" s="403"/>
      <c r="F5" s="403"/>
      <c r="G5" s="403"/>
      <c r="H5" s="403"/>
      <c r="I5" s="403"/>
    </row>
    <row r="6" spans="1:12" ht="15" customHeight="1">
      <c r="A6" s="419" t="s">
        <v>52</v>
      </c>
      <c r="B6" s="420"/>
      <c r="C6" s="420"/>
      <c r="D6" s="420"/>
      <c r="E6" s="420"/>
      <c r="F6" s="420"/>
      <c r="G6" s="421"/>
      <c r="H6" s="90"/>
      <c r="I6" s="90"/>
      <c r="J6" s="90"/>
      <c r="K6" s="90"/>
      <c r="L6" s="90"/>
    </row>
    <row r="7" spans="1:12" s="31" customFormat="1" ht="15" customHeight="1">
      <c r="A7" s="413">
        <v>2</v>
      </c>
      <c r="B7" s="414" t="s">
        <v>13</v>
      </c>
      <c r="C7" s="61" t="s">
        <v>11</v>
      </c>
      <c r="D7" s="61" t="e">
        <f>SUM(E7:I7)</f>
        <v>#REF!</v>
      </c>
      <c r="E7" s="61" t="e">
        <f>SUM(E8:E9)+0.01</f>
        <v>#REF!</v>
      </c>
      <c r="F7" s="61" t="e">
        <f>SUM(F8:F9)</f>
        <v>#REF!</v>
      </c>
      <c r="G7" s="61" t="e">
        <f>SUM(G8:G9)</f>
        <v>#REF!</v>
      </c>
      <c r="H7" s="61" t="e">
        <f>SUM(H8:H9)</f>
        <v>#REF!</v>
      </c>
      <c r="I7" s="61" t="e">
        <f>SUM(I8:I9)</f>
        <v>#REF!</v>
      </c>
      <c r="J7" s="91"/>
      <c r="K7" s="91"/>
      <c r="L7" s="91"/>
    </row>
    <row r="8" spans="1:12" s="31" customFormat="1" ht="15" customHeight="1">
      <c r="A8" s="413"/>
      <c r="B8" s="414"/>
      <c r="C8" s="95" t="s">
        <v>5</v>
      </c>
      <c r="D8" s="61" t="e">
        <f>SUM(E8:I8)</f>
        <v>#REF!</v>
      </c>
      <c r="E8" s="95" t="e">
        <f>SUM(#REF!)</f>
        <v>#REF!</v>
      </c>
      <c r="F8" s="95" t="e">
        <f>SUM(#REF!)</f>
        <v>#REF!</v>
      </c>
      <c r="G8" s="95" t="e">
        <f>SUM(#REF!)</f>
        <v>#REF!</v>
      </c>
      <c r="H8" s="104" t="e">
        <f>SUM(#REF!)</f>
        <v>#REF!</v>
      </c>
      <c r="I8" s="104" t="e">
        <f>SUM(#REF!)</f>
        <v>#REF!</v>
      </c>
      <c r="J8" s="91"/>
      <c r="K8" s="91"/>
      <c r="L8" s="91"/>
    </row>
    <row r="9" spans="1:12" s="31" customFormat="1" ht="15" customHeight="1">
      <c r="A9" s="413"/>
      <c r="B9" s="414"/>
      <c r="C9" s="95" t="s">
        <v>6</v>
      </c>
      <c r="D9" s="61" t="e">
        <f>SUM(E9:I9)</f>
        <v>#REF!</v>
      </c>
      <c r="E9" s="95" t="e">
        <f>SUM(#REF!)</f>
        <v>#REF!</v>
      </c>
      <c r="F9" s="95" t="e">
        <f>SUM(#REF!)</f>
        <v>#REF!</v>
      </c>
      <c r="G9" s="95" t="e">
        <f>SUM(#REF!)</f>
        <v>#REF!</v>
      </c>
      <c r="H9" s="156" t="e">
        <f>SUM(#REF!)</f>
        <v>#REF!</v>
      </c>
      <c r="I9" s="156" t="e">
        <f>SUM(#REF!)</f>
        <v>#REF!</v>
      </c>
      <c r="J9" s="91"/>
      <c r="K9" s="91"/>
      <c r="L9" s="91"/>
    </row>
    <row r="10" spans="1:12" ht="13.5" customHeight="1">
      <c r="A10" s="410" t="s">
        <v>53</v>
      </c>
      <c r="B10" s="411"/>
      <c r="C10" s="411"/>
      <c r="D10" s="411"/>
      <c r="E10" s="411"/>
      <c r="F10" s="411"/>
      <c r="G10" s="412"/>
      <c r="H10" s="90"/>
      <c r="I10" s="90"/>
      <c r="J10" s="90"/>
      <c r="K10" s="90"/>
      <c r="L10" s="90"/>
    </row>
    <row r="11" spans="1:12" s="31" customFormat="1" ht="14.25" customHeight="1">
      <c r="A11" s="413">
        <v>3</v>
      </c>
      <c r="B11" s="414" t="s">
        <v>13</v>
      </c>
      <c r="C11" s="61" t="s">
        <v>11</v>
      </c>
      <c r="D11" s="61">
        <f>SUM(E11:I11)</f>
        <v>720</v>
      </c>
      <c r="E11" s="61">
        <v>150</v>
      </c>
      <c r="F11" s="61">
        <v>120</v>
      </c>
      <c r="G11" s="61">
        <v>150</v>
      </c>
      <c r="H11" s="61">
        <v>150</v>
      </c>
      <c r="I11" s="61">
        <v>150</v>
      </c>
      <c r="J11" s="91"/>
      <c r="K11" s="91"/>
      <c r="L11" s="91"/>
    </row>
    <row r="12" spans="1:12" s="31" customFormat="1" ht="14.25" customHeight="1">
      <c r="A12" s="413"/>
      <c r="B12" s="414"/>
      <c r="C12" s="95" t="s">
        <v>5</v>
      </c>
      <c r="D12" s="61">
        <f>SUM(E12:I12)</f>
        <v>720</v>
      </c>
      <c r="E12" s="95">
        <v>150</v>
      </c>
      <c r="F12" s="95">
        <v>120</v>
      </c>
      <c r="G12" s="95">
        <v>150</v>
      </c>
      <c r="H12" s="104">
        <v>150</v>
      </c>
      <c r="I12" s="104">
        <v>150</v>
      </c>
      <c r="J12" s="91"/>
      <c r="K12" s="91"/>
      <c r="L12" s="91"/>
    </row>
    <row r="13" spans="1:7" ht="12.75" customHeight="1">
      <c r="A13" s="410" t="s">
        <v>55</v>
      </c>
      <c r="B13" s="411"/>
      <c r="C13" s="411"/>
      <c r="D13" s="411"/>
      <c r="E13" s="411"/>
      <c r="F13" s="411"/>
      <c r="G13" s="412"/>
    </row>
    <row r="14" spans="1:12" s="31" customFormat="1" ht="13.5" customHeight="1">
      <c r="A14" s="413">
        <v>4</v>
      </c>
      <c r="B14" s="414" t="s">
        <v>13</v>
      </c>
      <c r="C14" s="61" t="s">
        <v>11</v>
      </c>
      <c r="D14" s="61">
        <f>SUM(E14:I14)</f>
        <v>4226.4</v>
      </c>
      <c r="E14" s="61">
        <f>SUM(E15:E16)</f>
        <v>1011.5999999999999</v>
      </c>
      <c r="F14" s="61">
        <f>SUM(F15:F16)</f>
        <v>979.5000000000001</v>
      </c>
      <c r="G14" s="61">
        <f>SUM(G15:G16)</f>
        <v>736.5</v>
      </c>
      <c r="H14" s="61">
        <f>SUM(H15:H16)</f>
        <v>749.4</v>
      </c>
      <c r="I14" s="61">
        <f>SUM(I15:I16)</f>
        <v>749.4</v>
      </c>
      <c r="J14" s="91"/>
      <c r="K14" s="91"/>
      <c r="L14" s="91"/>
    </row>
    <row r="15" spans="1:12" s="31" customFormat="1" ht="13.5" customHeight="1">
      <c r="A15" s="413"/>
      <c r="B15" s="414"/>
      <c r="C15" s="95" t="s">
        <v>5</v>
      </c>
      <c r="D15" s="95">
        <f>SUM(E15:I15)</f>
        <v>2868.5</v>
      </c>
      <c r="E15" s="95">
        <f>SUM(' отдых'!F56)</f>
        <v>762.9999999999999</v>
      </c>
      <c r="F15" s="95">
        <f>SUM(' отдых'!G56)</f>
        <v>730.9000000000001</v>
      </c>
      <c r="G15" s="95">
        <f>SUM(' отдых'!H56)</f>
        <v>458.2</v>
      </c>
      <c r="H15" s="104">
        <f>SUM(' отдых'!I56)</f>
        <v>458.2</v>
      </c>
      <c r="I15" s="104">
        <f>SUM(' отдых'!J56)</f>
        <v>458.2</v>
      </c>
      <c r="J15" s="91"/>
      <c r="K15" s="91"/>
      <c r="L15" s="91"/>
    </row>
    <row r="16" spans="1:12" s="31" customFormat="1" ht="13.5" customHeight="1">
      <c r="A16" s="413"/>
      <c r="B16" s="414"/>
      <c r="C16" s="95" t="s">
        <v>6</v>
      </c>
      <c r="D16" s="95">
        <f>SUM(E16:I16)</f>
        <v>1357.9</v>
      </c>
      <c r="E16" s="95">
        <f>SUM(' отдых'!F57)</f>
        <v>248.6</v>
      </c>
      <c r="F16" s="95">
        <f>SUM(' отдых'!G57)</f>
        <v>248.6</v>
      </c>
      <c r="G16" s="95">
        <f>SUM(' отдых'!H57)</f>
        <v>278.3</v>
      </c>
      <c r="H16" s="104">
        <f>SUM(' отдых'!I57)</f>
        <v>291.2</v>
      </c>
      <c r="I16" s="104">
        <f>SUM(' отдых'!J57)</f>
        <v>291.2</v>
      </c>
      <c r="J16" s="91"/>
      <c r="K16" s="91"/>
      <c r="L16" s="91"/>
    </row>
    <row r="17" spans="1:7" ht="13.5" customHeight="1">
      <c r="A17" s="410" t="s">
        <v>56</v>
      </c>
      <c r="B17" s="411"/>
      <c r="C17" s="411"/>
      <c r="D17" s="411"/>
      <c r="E17" s="411"/>
      <c r="F17" s="411"/>
      <c r="G17" s="412"/>
    </row>
    <row r="18" spans="1:12" s="31" customFormat="1" ht="13.5" customHeight="1">
      <c r="A18" s="413">
        <v>5</v>
      </c>
      <c r="B18" s="414" t="s">
        <v>13</v>
      </c>
      <c r="C18" s="61" t="s">
        <v>11</v>
      </c>
      <c r="D18" s="61">
        <f>SUM(E18:I18)</f>
        <v>343</v>
      </c>
      <c r="E18" s="61">
        <f>SUM(E19:E19)</f>
        <v>75</v>
      </c>
      <c r="F18" s="61">
        <f>SUM(F19:F19)</f>
        <v>67</v>
      </c>
      <c r="G18" s="61">
        <v>67</v>
      </c>
      <c r="H18" s="61">
        <v>67</v>
      </c>
      <c r="I18" s="61">
        <v>67</v>
      </c>
      <c r="J18" s="91"/>
      <c r="K18" s="91"/>
      <c r="L18" s="91"/>
    </row>
    <row r="19" spans="1:12" s="31" customFormat="1" ht="13.5" customHeight="1">
      <c r="A19" s="413"/>
      <c r="B19" s="414"/>
      <c r="C19" s="95" t="s">
        <v>5</v>
      </c>
      <c r="D19" s="95">
        <f>SUM(E19:I19)</f>
        <v>343</v>
      </c>
      <c r="E19" s="95">
        <v>75</v>
      </c>
      <c r="F19" s="95">
        <v>67</v>
      </c>
      <c r="G19" s="95">
        <v>67</v>
      </c>
      <c r="H19" s="104">
        <v>67</v>
      </c>
      <c r="I19" s="104">
        <v>67</v>
      </c>
      <c r="J19" s="91"/>
      <c r="K19" s="91"/>
      <c r="L19" s="91"/>
    </row>
    <row r="20" spans="1:12" s="31" customFormat="1" ht="10.5" customHeight="1">
      <c r="A20" s="422"/>
      <c r="B20" s="423"/>
      <c r="C20" s="423"/>
      <c r="D20" s="423"/>
      <c r="E20" s="423"/>
      <c r="F20" s="423"/>
      <c r="G20" s="424"/>
      <c r="H20" s="91"/>
      <c r="I20" s="91"/>
      <c r="J20" s="91"/>
      <c r="K20" s="91"/>
      <c r="L20" s="91"/>
    </row>
    <row r="21" spans="1:9" s="97" customFormat="1" ht="27.75" customHeight="1">
      <c r="A21" s="418" t="s">
        <v>150</v>
      </c>
      <c r="B21" s="418"/>
      <c r="C21" s="61" t="s">
        <v>11</v>
      </c>
      <c r="D21" s="96" t="e">
        <f>SUM(E21:I21)</f>
        <v>#REF!</v>
      </c>
      <c r="E21" s="96" t="e">
        <f aca="true" t="shared" si="0" ref="E21:I22">SUM(E7,E11,E14,E18)</f>
        <v>#REF!</v>
      </c>
      <c r="F21" s="96" t="e">
        <f t="shared" si="0"/>
        <v>#REF!</v>
      </c>
      <c r="G21" s="96" t="e">
        <f t="shared" si="0"/>
        <v>#REF!</v>
      </c>
      <c r="H21" s="96" t="e">
        <f t="shared" si="0"/>
        <v>#REF!</v>
      </c>
      <c r="I21" s="96" t="e">
        <f t="shared" si="0"/>
        <v>#REF!</v>
      </c>
    </row>
    <row r="22" spans="1:9" s="97" customFormat="1" ht="21.75" customHeight="1">
      <c r="A22" s="418"/>
      <c r="B22" s="418"/>
      <c r="C22" s="95" t="s">
        <v>5</v>
      </c>
      <c r="D22" s="98" t="e">
        <f>SUM(E22:I22)</f>
        <v>#REF!</v>
      </c>
      <c r="E22" s="98" t="e">
        <f t="shared" si="0"/>
        <v>#REF!</v>
      </c>
      <c r="F22" s="98" t="e">
        <f t="shared" si="0"/>
        <v>#REF!</v>
      </c>
      <c r="G22" s="98" t="e">
        <f t="shared" si="0"/>
        <v>#REF!</v>
      </c>
      <c r="H22" s="98" t="e">
        <f t="shared" si="0"/>
        <v>#REF!</v>
      </c>
      <c r="I22" s="98" t="e">
        <f t="shared" si="0"/>
        <v>#REF!</v>
      </c>
    </row>
    <row r="23" spans="1:9" s="97" customFormat="1" ht="22.5" customHeight="1">
      <c r="A23" s="418"/>
      <c r="B23" s="418"/>
      <c r="C23" s="95" t="s">
        <v>6</v>
      </c>
      <c r="D23" s="98" t="e">
        <f>SUM(E23:I23)</f>
        <v>#REF!</v>
      </c>
      <c r="E23" s="98" t="e">
        <f>SUM(E9,E16)</f>
        <v>#REF!</v>
      </c>
      <c r="F23" s="98" t="e">
        <f>SUM(F9,F16)</f>
        <v>#REF!</v>
      </c>
      <c r="G23" s="98" t="e">
        <f>SUM(G9,G16)</f>
        <v>#REF!</v>
      </c>
      <c r="H23" s="98" t="e">
        <f>SUM(H9,H16)</f>
        <v>#REF!</v>
      </c>
      <c r="I23" s="98" t="e">
        <f>SUM(I9,I16)</f>
        <v>#REF!</v>
      </c>
    </row>
    <row r="24" spans="1:7" ht="12.75" customHeight="1">
      <c r="A24" s="410" t="s">
        <v>151</v>
      </c>
      <c r="B24" s="411"/>
      <c r="C24" s="411"/>
      <c r="D24" s="411"/>
      <c r="E24" s="411"/>
      <c r="F24" s="411"/>
      <c r="G24" s="412"/>
    </row>
    <row r="25" spans="1:12" s="31" customFormat="1" ht="13.5" customHeight="1">
      <c r="A25" s="413">
        <v>6</v>
      </c>
      <c r="B25" s="414" t="s">
        <v>13</v>
      </c>
      <c r="C25" s="61" t="s">
        <v>11</v>
      </c>
      <c r="D25" s="61">
        <f>SUM(E25:I25)</f>
        <v>32326.100000000006</v>
      </c>
      <c r="E25" s="61">
        <f>SUM(E26:E27)</f>
        <v>8816.5</v>
      </c>
      <c r="F25" s="61">
        <f>SUM(F26:F27)</f>
        <v>5877.400000000001</v>
      </c>
      <c r="G25" s="61">
        <f>SUM(G26:G27)</f>
        <v>5877.400000000001</v>
      </c>
      <c r="H25" s="61">
        <f>SUM(H26:H27)</f>
        <v>5877.400000000001</v>
      </c>
      <c r="I25" s="61">
        <f>SUM(I26:I27)</f>
        <v>5877.400000000001</v>
      </c>
      <c r="J25" s="91"/>
      <c r="K25" s="91"/>
      <c r="L25" s="91"/>
    </row>
    <row r="26" spans="1:12" s="31" customFormat="1" ht="13.5" customHeight="1">
      <c r="A26" s="413"/>
      <c r="B26" s="414"/>
      <c r="C26" s="95" t="s">
        <v>5</v>
      </c>
      <c r="D26" s="95">
        <f>SUM(E26:I26)</f>
        <v>27901.6</v>
      </c>
      <c r="E26" s="95">
        <v>7950.4</v>
      </c>
      <c r="F26" s="95">
        <v>4987.8</v>
      </c>
      <c r="G26" s="156">
        <v>4987.8</v>
      </c>
      <c r="H26" s="156">
        <v>4987.8</v>
      </c>
      <c r="I26" s="156">
        <v>4987.8</v>
      </c>
      <c r="J26" s="91"/>
      <c r="K26" s="91"/>
      <c r="L26" s="91"/>
    </row>
    <row r="27" spans="1:12" s="31" customFormat="1" ht="13.5" customHeight="1">
      <c r="A27" s="413"/>
      <c r="B27" s="414"/>
      <c r="C27" s="95" t="s">
        <v>6</v>
      </c>
      <c r="D27" s="95">
        <f>SUM(E27:I27)</f>
        <v>4424.5</v>
      </c>
      <c r="E27" s="95">
        <v>866.1</v>
      </c>
      <c r="F27" s="95">
        <v>889.6</v>
      </c>
      <c r="G27" s="156">
        <v>889.6</v>
      </c>
      <c r="H27" s="156">
        <v>889.6</v>
      </c>
      <c r="I27" s="156">
        <v>889.6</v>
      </c>
      <c r="J27" s="91"/>
      <c r="K27" s="91"/>
      <c r="L27" s="91"/>
    </row>
    <row r="28" spans="1:7" ht="13.5" customHeight="1">
      <c r="A28" s="410" t="s">
        <v>152</v>
      </c>
      <c r="B28" s="411"/>
      <c r="C28" s="411"/>
      <c r="D28" s="411"/>
      <c r="E28" s="411"/>
      <c r="F28" s="411"/>
      <c r="G28" s="412"/>
    </row>
    <row r="29" spans="1:12" s="31" customFormat="1" ht="13.5" customHeight="1">
      <c r="A29" s="413">
        <v>7</v>
      </c>
      <c r="B29" s="414" t="s">
        <v>13</v>
      </c>
      <c r="C29" s="61" t="s">
        <v>11</v>
      </c>
      <c r="D29" s="61">
        <f>SUM(E29:I29)</f>
        <v>40984.5</v>
      </c>
      <c r="E29" s="61">
        <f>SUM(E30:E30)</f>
        <v>6856.3</v>
      </c>
      <c r="F29" s="61">
        <f>SUM(F30:F30)</f>
        <v>8640.8</v>
      </c>
      <c r="G29" s="61">
        <f>SUM(G30)</f>
        <v>8295.8</v>
      </c>
      <c r="H29" s="61">
        <f>SUM(H30)</f>
        <v>8595.8</v>
      </c>
      <c r="I29" s="61">
        <f>SUM(I30)</f>
        <v>8595.8</v>
      </c>
      <c r="J29" s="91"/>
      <c r="K29" s="91"/>
      <c r="L29" s="91"/>
    </row>
    <row r="30" spans="1:12" s="31" customFormat="1" ht="13.5" customHeight="1">
      <c r="A30" s="413"/>
      <c r="B30" s="414"/>
      <c r="C30" s="95" t="s">
        <v>5</v>
      </c>
      <c r="D30" s="95">
        <f>SUM(E30:I30)</f>
        <v>40984.5</v>
      </c>
      <c r="E30" s="95">
        <v>6856.3</v>
      </c>
      <c r="F30" s="95">
        <v>8640.8</v>
      </c>
      <c r="G30" s="95">
        <v>8295.8</v>
      </c>
      <c r="H30" s="156">
        <v>8595.8</v>
      </c>
      <c r="I30" s="156">
        <v>8595.8</v>
      </c>
      <c r="J30" s="91"/>
      <c r="K30" s="91"/>
      <c r="L30" s="91"/>
    </row>
    <row r="31" spans="1:7" ht="13.5" customHeight="1">
      <c r="A31" s="410" t="s">
        <v>154</v>
      </c>
      <c r="B31" s="411"/>
      <c r="C31" s="411"/>
      <c r="D31" s="411"/>
      <c r="E31" s="411"/>
      <c r="F31" s="411"/>
      <c r="G31" s="412"/>
    </row>
    <row r="32" spans="1:12" s="31" customFormat="1" ht="13.5" customHeight="1">
      <c r="A32" s="413">
        <v>8</v>
      </c>
      <c r="B32" s="414" t="s">
        <v>13</v>
      </c>
      <c r="C32" s="61" t="s">
        <v>11</v>
      </c>
      <c r="D32" s="61">
        <f>SUM(E32:I32)</f>
        <v>65414.399999999994</v>
      </c>
      <c r="E32" s="61">
        <f>SUM(E33:E33)</f>
        <v>0</v>
      </c>
      <c r="F32" s="61">
        <f>SUM(F33:F33)</f>
        <v>16151.1</v>
      </c>
      <c r="G32" s="61">
        <f>SUM(G33)</f>
        <v>16421.1</v>
      </c>
      <c r="H32" s="61">
        <f>SUM(H33)</f>
        <v>16421.1</v>
      </c>
      <c r="I32" s="61">
        <f>SUM(I33)</f>
        <v>16421.1</v>
      </c>
      <c r="J32" s="91"/>
      <c r="K32" s="91"/>
      <c r="L32" s="91"/>
    </row>
    <row r="33" spans="1:12" s="31" customFormat="1" ht="13.5" customHeight="1">
      <c r="A33" s="413"/>
      <c r="B33" s="414"/>
      <c r="C33" s="104" t="s">
        <v>5</v>
      </c>
      <c r="D33" s="104">
        <f>SUM(E33:I33)</f>
        <v>65414.399999999994</v>
      </c>
      <c r="E33" s="104">
        <v>0</v>
      </c>
      <c r="F33" s="104">
        <v>16151.1</v>
      </c>
      <c r="G33" s="104">
        <v>16421.1</v>
      </c>
      <c r="H33" s="104">
        <v>16421.1</v>
      </c>
      <c r="I33" s="104">
        <v>16421.1</v>
      </c>
      <c r="J33" s="91"/>
      <c r="K33" s="91"/>
      <c r="L33" s="91"/>
    </row>
    <row r="34" spans="2:9" ht="7.5" customHeight="1">
      <c r="B34" s="99"/>
      <c r="C34" s="99"/>
      <c r="D34" s="99"/>
      <c r="E34" s="99"/>
      <c r="F34" s="99"/>
      <c r="G34" s="99"/>
      <c r="H34" s="99"/>
      <c r="I34" s="99"/>
    </row>
    <row r="35" spans="1:9" ht="21" customHeight="1">
      <c r="A35" s="416" t="s">
        <v>134</v>
      </c>
      <c r="B35" s="417"/>
      <c r="C35" s="100" t="s">
        <v>11</v>
      </c>
      <c r="D35" s="92" t="e">
        <f>SUM(E35:I35)</f>
        <v>#REF!</v>
      </c>
      <c r="E35" s="92" t="e">
        <f>SUM(E36:E37)</f>
        <v>#REF!</v>
      </c>
      <c r="F35" s="92" t="e">
        <f>SUM(F36:F37)</f>
        <v>#REF!</v>
      </c>
      <c r="G35" s="92" t="e">
        <f>SUM(G36:G37)</f>
        <v>#REF!</v>
      </c>
      <c r="H35" s="92" t="e">
        <f>SUM(H36:H37)</f>
        <v>#REF!</v>
      </c>
      <c r="I35" s="92" t="e">
        <f>SUM(I36:I37)</f>
        <v>#REF!</v>
      </c>
    </row>
    <row r="36" spans="1:9" ht="21" customHeight="1">
      <c r="A36" s="416"/>
      <c r="B36" s="417"/>
      <c r="C36" s="101" t="s">
        <v>5</v>
      </c>
      <c r="D36" s="92" t="e">
        <f>SUM(E36:I36)</f>
        <v>#REF!</v>
      </c>
      <c r="E36" s="93" t="e">
        <f>E8+E12+E15+E19+E26+E30+E33</f>
        <v>#REF!</v>
      </c>
      <c r="F36" s="93" t="e">
        <f>F22+F26+F30+F33</f>
        <v>#REF!</v>
      </c>
      <c r="G36" s="93" t="e">
        <f>G22+G26+G30+G33</f>
        <v>#REF!</v>
      </c>
      <c r="H36" s="93" t="e">
        <f>H22+H26+H30+H33</f>
        <v>#REF!</v>
      </c>
      <c r="I36" s="93" t="e">
        <f>I22+I26+I30+I33</f>
        <v>#REF!</v>
      </c>
    </row>
    <row r="37" spans="1:9" ht="21" customHeight="1">
      <c r="A37" s="416"/>
      <c r="B37" s="417"/>
      <c r="C37" s="101" t="s">
        <v>6</v>
      </c>
      <c r="D37" s="92" t="e">
        <f>SUM(E37:I37)</f>
        <v>#REF!</v>
      </c>
      <c r="E37" s="93" t="e">
        <f>E9+E16+E27</f>
        <v>#REF!</v>
      </c>
      <c r="F37" s="93" t="e">
        <f>F23+F27</f>
        <v>#REF!</v>
      </c>
      <c r="G37" s="93" t="e">
        <f>G23+G27</f>
        <v>#REF!</v>
      </c>
      <c r="H37" s="93" t="e">
        <f>H23+H27</f>
        <v>#REF!</v>
      </c>
      <c r="I37" s="93" t="e">
        <f>I23+I27</f>
        <v>#REF!</v>
      </c>
    </row>
  </sheetData>
  <sheetProtection/>
  <mergeCells count="33">
    <mergeCell ref="A35:B37"/>
    <mergeCell ref="A21:B23"/>
    <mergeCell ref="A14:A16"/>
    <mergeCell ref="A18:A19"/>
    <mergeCell ref="E4:E5"/>
    <mergeCell ref="B7:B9"/>
    <mergeCell ref="A6:G6"/>
    <mergeCell ref="A13:G13"/>
    <mergeCell ref="B14:B16"/>
    <mergeCell ref="A20:G20"/>
    <mergeCell ref="A4:C5"/>
    <mergeCell ref="D4:D5"/>
    <mergeCell ref="F4:F5"/>
    <mergeCell ref="G4:G5"/>
    <mergeCell ref="A25:A27"/>
    <mergeCell ref="B25:B27"/>
    <mergeCell ref="A28:G28"/>
    <mergeCell ref="A7:A9"/>
    <mergeCell ref="A17:G17"/>
    <mergeCell ref="A11:A12"/>
    <mergeCell ref="B11:B12"/>
    <mergeCell ref="A10:G10"/>
    <mergeCell ref="A24:G24"/>
    <mergeCell ref="H4:H5"/>
    <mergeCell ref="I4:I5"/>
    <mergeCell ref="A1:I1"/>
    <mergeCell ref="A2:I3"/>
    <mergeCell ref="A31:G31"/>
    <mergeCell ref="A32:A33"/>
    <mergeCell ref="B32:B33"/>
    <mergeCell ref="A29:A30"/>
    <mergeCell ref="B29:B30"/>
    <mergeCell ref="B18:B19"/>
  </mergeCells>
  <printOptions/>
  <pageMargins left="0.7" right="0.7" top="0.75" bottom="0.75" header="0.3" footer="0.3"/>
  <pageSetup fitToWidth="0" fitToHeight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Q175"/>
  <sheetViews>
    <sheetView zoomScale="85" zoomScaleNormal="85" zoomScaleSheetLayoutView="100" workbookViewId="0" topLeftCell="A1">
      <pane ySplit="6" topLeftCell="A155" activePane="bottomLeft" state="frozen"/>
      <selection pane="topLeft" activeCell="A1" sqref="A1"/>
      <selection pane="bottomLeft" activeCell="J154" sqref="F154:J154"/>
    </sheetView>
  </sheetViews>
  <sheetFormatPr defaultColWidth="19.7109375" defaultRowHeight="18.75" customHeight="1"/>
  <cols>
    <col min="1" max="1" width="6.57421875" style="1" customWidth="1"/>
    <col min="2" max="2" width="28.28125" style="1" customWidth="1"/>
    <col min="3" max="3" width="6.28125" style="79" customWidth="1"/>
    <col min="4" max="4" width="6.8515625" style="70" customWidth="1"/>
    <col min="5" max="5" width="8.00390625" style="70" customWidth="1"/>
    <col min="6" max="7" width="8.28125" style="70" customWidth="1"/>
    <col min="8" max="10" width="8.421875" style="70" customWidth="1"/>
    <col min="11" max="11" width="23.421875" style="88" customWidth="1"/>
    <col min="12" max="16" width="5.00390625" style="70" customWidth="1"/>
    <col min="17" max="17" width="19.00390625" style="3" customWidth="1"/>
    <col min="18" max="16384" width="19.7109375" style="1" customWidth="1"/>
  </cols>
  <sheetData>
    <row r="1" spans="1:17" ht="30" customHeight="1">
      <c r="A1" s="29"/>
      <c r="B1" s="29"/>
      <c r="C1" s="78"/>
      <c r="D1" s="63"/>
      <c r="E1" s="63"/>
      <c r="F1" s="63"/>
      <c r="G1" s="592" t="s">
        <v>299</v>
      </c>
      <c r="H1" s="592"/>
      <c r="I1" s="592"/>
      <c r="J1" s="592"/>
      <c r="K1" s="592"/>
      <c r="L1" s="592"/>
      <c r="M1" s="592"/>
      <c r="N1" s="592"/>
      <c r="O1" s="592"/>
      <c r="P1" s="592"/>
      <c r="Q1" s="592"/>
    </row>
    <row r="2" spans="1:17" ht="28.5" customHeight="1">
      <c r="A2" s="593" t="s">
        <v>157</v>
      </c>
      <c r="B2" s="593"/>
      <c r="C2" s="593"/>
      <c r="D2" s="593"/>
      <c r="E2" s="593"/>
      <c r="F2" s="593"/>
      <c r="G2" s="593"/>
      <c r="H2" s="593"/>
      <c r="I2" s="593"/>
      <c r="J2" s="593"/>
      <c r="K2" s="593"/>
      <c r="L2" s="593"/>
      <c r="M2" s="593"/>
      <c r="N2" s="593"/>
      <c r="O2" s="593"/>
      <c r="P2" s="593"/>
      <c r="Q2" s="593"/>
    </row>
    <row r="3" spans="1:17" ht="10.5" customHeight="1">
      <c r="A3" s="29"/>
      <c r="B3" s="29"/>
      <c r="C3" s="78"/>
      <c r="D3" s="63"/>
      <c r="E3" s="63"/>
      <c r="F3" s="63"/>
      <c r="G3" s="63"/>
      <c r="H3" s="63"/>
      <c r="I3" s="63"/>
      <c r="J3" s="63"/>
      <c r="K3" s="87"/>
      <c r="L3" s="63"/>
      <c r="M3" s="63"/>
      <c r="N3" s="63"/>
      <c r="O3" s="63"/>
      <c r="P3" s="63"/>
      <c r="Q3" s="119" t="s">
        <v>7</v>
      </c>
    </row>
    <row r="4" spans="1:17" s="35" customFormat="1" ht="40.5" customHeight="1">
      <c r="A4" s="594" t="s">
        <v>16</v>
      </c>
      <c r="B4" s="595" t="s">
        <v>15</v>
      </c>
      <c r="C4" s="594" t="s">
        <v>8</v>
      </c>
      <c r="D4" s="594" t="s">
        <v>9</v>
      </c>
      <c r="E4" s="597" t="s">
        <v>0</v>
      </c>
      <c r="F4" s="598"/>
      <c r="G4" s="598"/>
      <c r="H4" s="598"/>
      <c r="I4" s="598"/>
      <c r="J4" s="599"/>
      <c r="K4" s="597" t="s">
        <v>17</v>
      </c>
      <c r="L4" s="598"/>
      <c r="M4" s="598"/>
      <c r="N4" s="598"/>
      <c r="O4" s="598"/>
      <c r="P4" s="599"/>
      <c r="Q4" s="595" t="s">
        <v>14</v>
      </c>
    </row>
    <row r="5" spans="1:17" s="35" customFormat="1" ht="14.25" customHeight="1">
      <c r="A5" s="594"/>
      <c r="B5" s="596"/>
      <c r="C5" s="594"/>
      <c r="D5" s="594"/>
      <c r="E5" s="115" t="s">
        <v>1</v>
      </c>
      <c r="F5" s="115" t="s">
        <v>2</v>
      </c>
      <c r="G5" s="115" t="s">
        <v>3</v>
      </c>
      <c r="H5" s="115" t="s">
        <v>57</v>
      </c>
      <c r="I5" s="115" t="s">
        <v>155</v>
      </c>
      <c r="J5" s="115" t="s">
        <v>156</v>
      </c>
      <c r="K5" s="115" t="s">
        <v>4</v>
      </c>
      <c r="L5" s="115">
        <v>2014</v>
      </c>
      <c r="M5" s="115">
        <v>2015</v>
      </c>
      <c r="N5" s="115">
        <v>2016</v>
      </c>
      <c r="O5" s="115">
        <v>2017</v>
      </c>
      <c r="P5" s="115">
        <v>2018</v>
      </c>
      <c r="Q5" s="596"/>
    </row>
    <row r="6" spans="1:17" s="30" customFormat="1" ht="9.75" customHeight="1">
      <c r="A6" s="273">
        <v>1</v>
      </c>
      <c r="B6" s="273">
        <v>2</v>
      </c>
      <c r="C6" s="273">
        <v>3</v>
      </c>
      <c r="D6" s="273">
        <v>4</v>
      </c>
      <c r="E6" s="273">
        <v>5</v>
      </c>
      <c r="F6" s="273">
        <v>6</v>
      </c>
      <c r="G6" s="273">
        <v>7</v>
      </c>
      <c r="H6" s="273">
        <v>8</v>
      </c>
      <c r="I6" s="273">
        <v>9</v>
      </c>
      <c r="J6" s="273">
        <v>10</v>
      </c>
      <c r="K6" s="273">
        <v>11</v>
      </c>
      <c r="L6" s="273">
        <v>12</v>
      </c>
      <c r="M6" s="273">
        <v>13</v>
      </c>
      <c r="N6" s="273">
        <v>14</v>
      </c>
      <c r="O6" s="273">
        <v>15</v>
      </c>
      <c r="P6" s="273">
        <v>16</v>
      </c>
      <c r="Q6" s="273">
        <v>17</v>
      </c>
    </row>
    <row r="7" spans="1:17" ht="11.25" customHeight="1">
      <c r="A7" s="273"/>
      <c r="B7" s="444" t="s">
        <v>44</v>
      </c>
      <c r="C7" s="444"/>
      <c r="D7" s="444"/>
      <c r="E7" s="444"/>
      <c r="F7" s="444"/>
      <c r="G7" s="444"/>
      <c r="H7" s="444"/>
      <c r="I7" s="444"/>
      <c r="J7" s="444"/>
      <c r="K7" s="444"/>
      <c r="L7" s="444"/>
      <c r="M7" s="444"/>
      <c r="N7" s="444"/>
      <c r="O7" s="444"/>
      <c r="P7" s="444"/>
      <c r="Q7" s="444"/>
    </row>
    <row r="8" spans="1:17" ht="13.5" customHeight="1">
      <c r="A8" s="40">
        <v>1</v>
      </c>
      <c r="B8" s="434" t="s">
        <v>79</v>
      </c>
      <c r="C8" s="434"/>
      <c r="D8" s="434"/>
      <c r="E8" s="434"/>
      <c r="F8" s="434"/>
      <c r="G8" s="434"/>
      <c r="H8" s="434"/>
      <c r="I8" s="434"/>
      <c r="J8" s="434"/>
      <c r="K8" s="434"/>
      <c r="L8" s="434"/>
      <c r="M8" s="434"/>
      <c r="N8" s="434"/>
      <c r="O8" s="434"/>
      <c r="P8" s="434"/>
      <c r="Q8" s="434"/>
    </row>
    <row r="9" spans="1:17" ht="22.5" customHeight="1">
      <c r="A9" s="455" t="s">
        <v>19</v>
      </c>
      <c r="B9" s="458" t="s">
        <v>45</v>
      </c>
      <c r="C9" s="586" t="s">
        <v>161</v>
      </c>
      <c r="D9" s="351" t="s">
        <v>249</v>
      </c>
      <c r="E9" s="343">
        <f aca="true" t="shared" si="0" ref="E9:J9">E10</f>
        <v>11120.5</v>
      </c>
      <c r="F9" s="343">
        <f t="shared" si="0"/>
        <v>8761</v>
      </c>
      <c r="G9" s="343">
        <f t="shared" si="0"/>
        <v>2359.5</v>
      </c>
      <c r="H9" s="343">
        <f t="shared" si="0"/>
        <v>0</v>
      </c>
      <c r="I9" s="343">
        <f t="shared" si="0"/>
        <v>0</v>
      </c>
      <c r="J9" s="343">
        <f t="shared" si="0"/>
        <v>0</v>
      </c>
      <c r="K9" s="464" t="s">
        <v>248</v>
      </c>
      <c r="L9" s="449" t="s">
        <v>236</v>
      </c>
      <c r="M9" s="449" t="s">
        <v>236</v>
      </c>
      <c r="N9" s="449" t="s">
        <v>213</v>
      </c>
      <c r="O9" s="449" t="s">
        <v>213</v>
      </c>
      <c r="P9" s="449" t="s">
        <v>213</v>
      </c>
      <c r="Q9" s="449" t="s">
        <v>63</v>
      </c>
    </row>
    <row r="10" spans="1:17" ht="6.75" customHeight="1">
      <c r="A10" s="462"/>
      <c r="B10" s="566"/>
      <c r="C10" s="566"/>
      <c r="D10" s="425" t="s">
        <v>5</v>
      </c>
      <c r="E10" s="489">
        <f>SUM(F10:J11)</f>
        <v>11120.5</v>
      </c>
      <c r="F10" s="489">
        <f>16163-6362-120-300-620</f>
        <v>8761</v>
      </c>
      <c r="G10" s="489">
        <v>2359.5</v>
      </c>
      <c r="H10" s="489">
        <v>0</v>
      </c>
      <c r="I10" s="489">
        <v>0</v>
      </c>
      <c r="J10" s="489">
        <v>0</v>
      </c>
      <c r="K10" s="484"/>
      <c r="L10" s="484"/>
      <c r="M10" s="484"/>
      <c r="N10" s="484"/>
      <c r="O10" s="484"/>
      <c r="P10" s="484"/>
      <c r="Q10" s="505"/>
    </row>
    <row r="11" spans="1:17" ht="6.75" customHeight="1" thickBot="1">
      <c r="A11" s="462"/>
      <c r="B11" s="566"/>
      <c r="C11" s="566"/>
      <c r="D11" s="425"/>
      <c r="E11" s="489"/>
      <c r="F11" s="489"/>
      <c r="G11" s="489"/>
      <c r="H11" s="489"/>
      <c r="I11" s="489"/>
      <c r="J11" s="489"/>
      <c r="K11" s="484"/>
      <c r="L11" s="484"/>
      <c r="M11" s="484"/>
      <c r="N11" s="484"/>
      <c r="O11" s="484"/>
      <c r="P11" s="484"/>
      <c r="Q11" s="505"/>
    </row>
    <row r="12" spans="1:17" ht="15" customHeight="1">
      <c r="A12" s="588"/>
      <c r="B12" s="444" t="s">
        <v>23</v>
      </c>
      <c r="C12" s="589"/>
      <c r="D12" s="435" t="s">
        <v>249</v>
      </c>
      <c r="E12" s="437">
        <f>SUM(F12:J13)</f>
        <v>11120.5</v>
      </c>
      <c r="F12" s="437">
        <f>SUM(F14:F15)</f>
        <v>8761</v>
      </c>
      <c r="G12" s="437">
        <f>SUM(G14:G15)</f>
        <v>2359.5</v>
      </c>
      <c r="H12" s="437">
        <f>SUM(H14:H15)</f>
        <v>0</v>
      </c>
      <c r="I12" s="437">
        <f>SUM(I14:I15)</f>
        <v>0</v>
      </c>
      <c r="J12" s="439">
        <f>SUM(J14:J15)</f>
        <v>0</v>
      </c>
      <c r="K12" s="431"/>
      <c r="L12" s="545"/>
      <c r="M12" s="545"/>
      <c r="N12" s="545"/>
      <c r="O12" s="545"/>
      <c r="P12" s="545"/>
      <c r="Q12" s="545"/>
    </row>
    <row r="13" spans="1:17" ht="10.5" customHeight="1">
      <c r="A13" s="588"/>
      <c r="B13" s="444"/>
      <c r="C13" s="589"/>
      <c r="D13" s="591"/>
      <c r="E13" s="438"/>
      <c r="F13" s="438"/>
      <c r="G13" s="438"/>
      <c r="H13" s="438"/>
      <c r="I13" s="438"/>
      <c r="J13" s="440"/>
      <c r="K13" s="431"/>
      <c r="L13" s="545"/>
      <c r="M13" s="545"/>
      <c r="N13" s="545"/>
      <c r="O13" s="545"/>
      <c r="P13" s="545"/>
      <c r="Q13" s="545"/>
    </row>
    <row r="14" spans="1:17" ht="13.5" customHeight="1">
      <c r="A14" s="588"/>
      <c r="B14" s="444"/>
      <c r="C14" s="589"/>
      <c r="D14" s="66" t="s">
        <v>5</v>
      </c>
      <c r="E14" s="336">
        <f>SUM(F14:J14)</f>
        <v>11120.5</v>
      </c>
      <c r="F14" s="336">
        <f>SUM(F10,F66)</f>
        <v>8761</v>
      </c>
      <c r="G14" s="336">
        <f>SUM(G10,G66)</f>
        <v>2359.5</v>
      </c>
      <c r="H14" s="336">
        <f>SUM(H10,H66)</f>
        <v>0</v>
      </c>
      <c r="I14" s="336">
        <f>SUM(I10,I66)</f>
        <v>0</v>
      </c>
      <c r="J14" s="71">
        <f>SUM(J10,J66)</f>
        <v>0</v>
      </c>
      <c r="K14" s="431"/>
      <c r="L14" s="545"/>
      <c r="M14" s="545"/>
      <c r="N14" s="545"/>
      <c r="O14" s="545"/>
      <c r="P14" s="545"/>
      <c r="Q14" s="545"/>
    </row>
    <row r="15" spans="1:17" ht="13.5" customHeight="1" thickBot="1">
      <c r="A15" s="553"/>
      <c r="B15" s="554"/>
      <c r="C15" s="590"/>
      <c r="D15" s="67" t="s">
        <v>6</v>
      </c>
      <c r="E15" s="72">
        <f>SUM(F15:J15)</f>
        <v>0</v>
      </c>
      <c r="F15" s="72">
        <f>F65</f>
        <v>0</v>
      </c>
      <c r="G15" s="72">
        <v>0</v>
      </c>
      <c r="H15" s="72">
        <f>H65</f>
        <v>0</v>
      </c>
      <c r="I15" s="72">
        <f>I65</f>
        <v>0</v>
      </c>
      <c r="J15" s="73">
        <f>J65</f>
        <v>0</v>
      </c>
      <c r="K15" s="587"/>
      <c r="L15" s="521"/>
      <c r="M15" s="521"/>
      <c r="N15" s="521"/>
      <c r="O15" s="521"/>
      <c r="P15" s="521"/>
      <c r="Q15" s="521"/>
    </row>
    <row r="16" spans="1:17" ht="16.5" customHeight="1">
      <c r="A16" s="36" t="s">
        <v>24</v>
      </c>
      <c r="B16" s="584" t="s">
        <v>80</v>
      </c>
      <c r="C16" s="548"/>
      <c r="D16" s="548"/>
      <c r="E16" s="548"/>
      <c r="F16" s="548"/>
      <c r="G16" s="548"/>
      <c r="H16" s="548"/>
      <c r="I16" s="548"/>
      <c r="J16" s="548"/>
      <c r="K16" s="548"/>
      <c r="L16" s="548"/>
      <c r="M16" s="548"/>
      <c r="N16" s="548"/>
      <c r="O16" s="548"/>
      <c r="P16" s="548"/>
      <c r="Q16" s="585"/>
    </row>
    <row r="17" spans="1:17" ht="24" customHeight="1">
      <c r="A17" s="455" t="s">
        <v>26</v>
      </c>
      <c r="B17" s="458" t="s">
        <v>46</v>
      </c>
      <c r="C17" s="586" t="s">
        <v>161</v>
      </c>
      <c r="D17" s="291" t="s">
        <v>249</v>
      </c>
      <c r="E17" s="345">
        <f aca="true" t="shared" si="1" ref="E17:J17">SUM(E18:E21)</f>
        <v>1040</v>
      </c>
      <c r="F17" s="345">
        <f t="shared" si="1"/>
        <v>240</v>
      </c>
      <c r="G17" s="345">
        <f t="shared" si="1"/>
        <v>200</v>
      </c>
      <c r="H17" s="345">
        <f t="shared" si="1"/>
        <v>200</v>
      </c>
      <c r="I17" s="345">
        <f t="shared" si="1"/>
        <v>200</v>
      </c>
      <c r="J17" s="345">
        <f t="shared" si="1"/>
        <v>200</v>
      </c>
      <c r="K17" s="458" t="s">
        <v>250</v>
      </c>
      <c r="L17" s="449" t="s">
        <v>240</v>
      </c>
      <c r="M17" s="449" t="s">
        <v>240</v>
      </c>
      <c r="N17" s="449" t="s">
        <v>240</v>
      </c>
      <c r="O17" s="449" t="s">
        <v>240</v>
      </c>
      <c r="P17" s="449" t="s">
        <v>240</v>
      </c>
      <c r="Q17" s="455" t="s">
        <v>136</v>
      </c>
    </row>
    <row r="18" spans="1:17" ht="16.5" customHeight="1">
      <c r="A18" s="482"/>
      <c r="B18" s="574"/>
      <c r="C18" s="582"/>
      <c r="D18" s="451" t="s">
        <v>5</v>
      </c>
      <c r="E18" s="453">
        <f>SUM(F18:J19)</f>
        <v>1040</v>
      </c>
      <c r="F18" s="453">
        <v>240</v>
      </c>
      <c r="G18" s="453">
        <v>200</v>
      </c>
      <c r="H18" s="453">
        <v>200</v>
      </c>
      <c r="I18" s="453">
        <v>200</v>
      </c>
      <c r="J18" s="453">
        <v>200</v>
      </c>
      <c r="K18" s="574"/>
      <c r="L18" s="495"/>
      <c r="M18" s="495"/>
      <c r="N18" s="495"/>
      <c r="O18" s="495"/>
      <c r="P18" s="495"/>
      <c r="Q18" s="582"/>
    </row>
    <row r="19" spans="1:17" ht="6" customHeight="1">
      <c r="A19" s="482"/>
      <c r="B19" s="574"/>
      <c r="C19" s="582"/>
      <c r="D19" s="468"/>
      <c r="E19" s="469"/>
      <c r="F19" s="469"/>
      <c r="G19" s="469"/>
      <c r="H19" s="469"/>
      <c r="I19" s="469"/>
      <c r="J19" s="469"/>
      <c r="K19" s="574"/>
      <c r="L19" s="495"/>
      <c r="M19" s="495"/>
      <c r="N19" s="495"/>
      <c r="O19" s="495"/>
      <c r="P19" s="495"/>
      <c r="Q19" s="582"/>
    </row>
    <row r="20" spans="1:17" ht="16.5" customHeight="1">
      <c r="A20" s="482"/>
      <c r="B20" s="574"/>
      <c r="C20" s="582"/>
      <c r="D20" s="425" t="s">
        <v>6</v>
      </c>
      <c r="E20" s="453">
        <f>SUM(F20:J21)</f>
        <v>0</v>
      </c>
      <c r="F20" s="490">
        <v>0</v>
      </c>
      <c r="G20" s="490">
        <v>0</v>
      </c>
      <c r="H20" s="490">
        <v>0</v>
      </c>
      <c r="I20" s="490">
        <v>0</v>
      </c>
      <c r="J20" s="490">
        <v>0</v>
      </c>
      <c r="K20" s="574"/>
      <c r="L20" s="495"/>
      <c r="M20" s="495"/>
      <c r="N20" s="495"/>
      <c r="O20" s="495"/>
      <c r="P20" s="495"/>
      <c r="Q20" s="582"/>
    </row>
    <row r="21" spans="1:17" ht="8.25" customHeight="1" thickBot="1">
      <c r="A21" s="483"/>
      <c r="B21" s="575"/>
      <c r="C21" s="583"/>
      <c r="D21" s="451"/>
      <c r="E21" s="454"/>
      <c r="F21" s="511"/>
      <c r="G21" s="511"/>
      <c r="H21" s="511"/>
      <c r="I21" s="511"/>
      <c r="J21" s="511"/>
      <c r="K21" s="575"/>
      <c r="L21" s="496"/>
      <c r="M21" s="496"/>
      <c r="N21" s="496"/>
      <c r="O21" s="496"/>
      <c r="P21" s="496"/>
      <c r="Q21" s="583"/>
    </row>
    <row r="22" spans="1:17" ht="12.75" customHeight="1">
      <c r="A22" s="426"/>
      <c r="B22" s="444" t="s">
        <v>43</v>
      </c>
      <c r="C22" s="433"/>
      <c r="D22" s="435" t="s">
        <v>249</v>
      </c>
      <c r="E22" s="437">
        <f>SUM(F22:J23)</f>
        <v>1040</v>
      </c>
      <c r="F22" s="437">
        <f>SUM(F18)</f>
        <v>240</v>
      </c>
      <c r="G22" s="437">
        <f>SUM(G18)</f>
        <v>200</v>
      </c>
      <c r="H22" s="437">
        <f>SUM(H18)</f>
        <v>200</v>
      </c>
      <c r="I22" s="437">
        <f>SUM(I18)</f>
        <v>200</v>
      </c>
      <c r="J22" s="439">
        <f>SUM(J18)</f>
        <v>200</v>
      </c>
      <c r="K22" s="431"/>
      <c r="L22" s="425"/>
      <c r="M22" s="425"/>
      <c r="N22" s="425"/>
      <c r="O22" s="425"/>
      <c r="P22" s="425"/>
      <c r="Q22" s="426"/>
    </row>
    <row r="23" spans="1:17" ht="9.75" customHeight="1">
      <c r="A23" s="426"/>
      <c r="B23" s="444"/>
      <c r="C23" s="433"/>
      <c r="D23" s="556"/>
      <c r="E23" s="438"/>
      <c r="F23" s="438"/>
      <c r="G23" s="438"/>
      <c r="H23" s="438"/>
      <c r="I23" s="438"/>
      <c r="J23" s="440"/>
      <c r="K23" s="431"/>
      <c r="L23" s="425"/>
      <c r="M23" s="425"/>
      <c r="N23" s="425"/>
      <c r="O23" s="425"/>
      <c r="P23" s="425"/>
      <c r="Q23" s="426"/>
    </row>
    <row r="24" spans="1:17" ht="12" customHeight="1">
      <c r="A24" s="426"/>
      <c r="B24" s="444"/>
      <c r="C24" s="433"/>
      <c r="D24" s="66" t="s">
        <v>5</v>
      </c>
      <c r="E24" s="336">
        <f>SUM(F24:J24)</f>
        <v>1040</v>
      </c>
      <c r="F24" s="336">
        <f>SUM(F18)</f>
        <v>240</v>
      </c>
      <c r="G24" s="336">
        <f>SUM(G18)</f>
        <v>200</v>
      </c>
      <c r="H24" s="336">
        <f>SUM(H18)</f>
        <v>200</v>
      </c>
      <c r="I24" s="336">
        <f>SUM(I18)</f>
        <v>200</v>
      </c>
      <c r="J24" s="71">
        <f>SUM(J18)</f>
        <v>200</v>
      </c>
      <c r="K24" s="431"/>
      <c r="L24" s="425"/>
      <c r="M24" s="425"/>
      <c r="N24" s="425"/>
      <c r="O24" s="425"/>
      <c r="P24" s="425"/>
      <c r="Q24" s="426"/>
    </row>
    <row r="25" spans="1:17" ht="11.25" customHeight="1" thickBot="1">
      <c r="A25" s="426"/>
      <c r="B25" s="444"/>
      <c r="C25" s="433"/>
      <c r="D25" s="67" t="s">
        <v>6</v>
      </c>
      <c r="E25" s="72">
        <f>SUM(F25:J25)</f>
        <v>0</v>
      </c>
      <c r="F25" s="72">
        <v>0</v>
      </c>
      <c r="G25" s="72">
        <v>0</v>
      </c>
      <c r="H25" s="72">
        <v>0</v>
      </c>
      <c r="I25" s="72">
        <v>0</v>
      </c>
      <c r="J25" s="73">
        <v>0</v>
      </c>
      <c r="K25" s="431"/>
      <c r="L25" s="425"/>
      <c r="M25" s="425"/>
      <c r="N25" s="425"/>
      <c r="O25" s="425"/>
      <c r="P25" s="425"/>
      <c r="Q25" s="426"/>
    </row>
    <row r="26" spans="1:17" ht="11.25" customHeight="1">
      <c r="A26" s="23" t="s">
        <v>28</v>
      </c>
      <c r="B26" s="584" t="s">
        <v>81</v>
      </c>
      <c r="C26" s="548"/>
      <c r="D26" s="548"/>
      <c r="E26" s="548"/>
      <c r="F26" s="548"/>
      <c r="G26" s="548"/>
      <c r="H26" s="548"/>
      <c r="I26" s="548"/>
      <c r="J26" s="548"/>
      <c r="K26" s="548"/>
      <c r="L26" s="548"/>
      <c r="M26" s="548"/>
      <c r="N26" s="548"/>
      <c r="O26" s="548"/>
      <c r="P26" s="548"/>
      <c r="Q26" s="585"/>
    </row>
    <row r="27" spans="1:17" ht="24" customHeight="1">
      <c r="A27" s="455" t="s">
        <v>30</v>
      </c>
      <c r="B27" s="503" t="s">
        <v>47</v>
      </c>
      <c r="C27" s="426" t="s">
        <v>161</v>
      </c>
      <c r="D27" s="291" t="s">
        <v>249</v>
      </c>
      <c r="E27" s="388">
        <f aca="true" t="shared" si="2" ref="E27:J27">E28</f>
        <v>210</v>
      </c>
      <c r="F27" s="388">
        <f t="shared" si="2"/>
        <v>70</v>
      </c>
      <c r="G27" s="388">
        <f t="shared" si="2"/>
        <v>35</v>
      </c>
      <c r="H27" s="388">
        <f t="shared" si="2"/>
        <v>35</v>
      </c>
      <c r="I27" s="388">
        <f t="shared" si="2"/>
        <v>35</v>
      </c>
      <c r="J27" s="388">
        <f t="shared" si="2"/>
        <v>35</v>
      </c>
      <c r="K27" s="458" t="s">
        <v>256</v>
      </c>
      <c r="L27" s="449" t="s">
        <v>236</v>
      </c>
      <c r="M27" s="449" t="s">
        <v>236</v>
      </c>
      <c r="N27" s="449" t="s">
        <v>236</v>
      </c>
      <c r="O27" s="449" t="s">
        <v>236</v>
      </c>
      <c r="P27" s="449" t="s">
        <v>236</v>
      </c>
      <c r="Q27" s="455" t="s">
        <v>136</v>
      </c>
    </row>
    <row r="28" spans="1:17" ht="16.5" customHeight="1">
      <c r="A28" s="482"/>
      <c r="B28" s="514"/>
      <c r="C28" s="494"/>
      <c r="D28" s="451" t="s">
        <v>5</v>
      </c>
      <c r="E28" s="453">
        <f>SUM(F28:J31)</f>
        <v>210</v>
      </c>
      <c r="F28" s="453">
        <v>70</v>
      </c>
      <c r="G28" s="453">
        <v>35</v>
      </c>
      <c r="H28" s="453">
        <v>35</v>
      </c>
      <c r="I28" s="453">
        <v>35</v>
      </c>
      <c r="J28" s="453">
        <v>35</v>
      </c>
      <c r="K28" s="582"/>
      <c r="L28" s="450"/>
      <c r="M28" s="450"/>
      <c r="N28" s="450"/>
      <c r="O28" s="450"/>
      <c r="P28" s="450"/>
      <c r="Q28" s="482"/>
    </row>
    <row r="29" spans="1:17" ht="1.5" customHeight="1">
      <c r="A29" s="482"/>
      <c r="B29" s="514"/>
      <c r="C29" s="494"/>
      <c r="D29" s="452"/>
      <c r="E29" s="454"/>
      <c r="F29" s="454"/>
      <c r="G29" s="454"/>
      <c r="H29" s="454"/>
      <c r="I29" s="454"/>
      <c r="J29" s="454"/>
      <c r="K29" s="583"/>
      <c r="L29" s="448"/>
      <c r="M29" s="448"/>
      <c r="N29" s="448"/>
      <c r="O29" s="448"/>
      <c r="P29" s="448"/>
      <c r="Q29" s="482"/>
    </row>
    <row r="30" spans="1:17" ht="16.5" customHeight="1">
      <c r="A30" s="482"/>
      <c r="B30" s="514"/>
      <c r="C30" s="494"/>
      <c r="D30" s="452"/>
      <c r="E30" s="454"/>
      <c r="F30" s="454"/>
      <c r="G30" s="454"/>
      <c r="H30" s="454"/>
      <c r="I30" s="454"/>
      <c r="J30" s="454"/>
      <c r="K30" s="513" t="s">
        <v>257</v>
      </c>
      <c r="L30" s="509" t="s">
        <v>236</v>
      </c>
      <c r="M30" s="509" t="s">
        <v>236</v>
      </c>
      <c r="N30" s="509" t="s">
        <v>236</v>
      </c>
      <c r="O30" s="509" t="s">
        <v>236</v>
      </c>
      <c r="P30" s="509" t="s">
        <v>236</v>
      </c>
      <c r="Q30" s="482"/>
    </row>
    <row r="31" spans="1:17" ht="16.5" customHeight="1" thickBot="1">
      <c r="A31" s="483"/>
      <c r="B31" s="514"/>
      <c r="C31" s="494"/>
      <c r="D31" s="452"/>
      <c r="E31" s="454"/>
      <c r="F31" s="454"/>
      <c r="G31" s="454"/>
      <c r="H31" s="454"/>
      <c r="I31" s="454"/>
      <c r="J31" s="454"/>
      <c r="K31" s="513"/>
      <c r="L31" s="557"/>
      <c r="M31" s="557"/>
      <c r="N31" s="557"/>
      <c r="O31" s="557"/>
      <c r="P31" s="557"/>
      <c r="Q31" s="483"/>
    </row>
    <row r="32" spans="1:17" ht="10.5" customHeight="1">
      <c r="A32" s="426"/>
      <c r="B32" s="444" t="s">
        <v>33</v>
      </c>
      <c r="C32" s="433"/>
      <c r="D32" s="435" t="s">
        <v>249</v>
      </c>
      <c r="E32" s="437">
        <f>SUM(F32:J33)</f>
        <v>210</v>
      </c>
      <c r="F32" s="437">
        <f>SUM(F34:F35)</f>
        <v>70</v>
      </c>
      <c r="G32" s="437">
        <f>SUM(G34:G35)</f>
        <v>35</v>
      </c>
      <c r="H32" s="437">
        <f>SUM(H34:H35)</f>
        <v>35</v>
      </c>
      <c r="I32" s="437">
        <f>SUM(I34:I35)</f>
        <v>35</v>
      </c>
      <c r="J32" s="439">
        <f>SUM(J34:J35)</f>
        <v>35</v>
      </c>
      <c r="K32" s="431"/>
      <c r="L32" s="425"/>
      <c r="M32" s="425"/>
      <c r="N32" s="425"/>
      <c r="O32" s="425"/>
      <c r="P32" s="425"/>
      <c r="Q32" s="426"/>
    </row>
    <row r="33" spans="1:17" ht="10.5" customHeight="1">
      <c r="A33" s="426"/>
      <c r="B33" s="444"/>
      <c r="C33" s="433"/>
      <c r="D33" s="556"/>
      <c r="E33" s="438"/>
      <c r="F33" s="438"/>
      <c r="G33" s="438"/>
      <c r="H33" s="438"/>
      <c r="I33" s="438"/>
      <c r="J33" s="440"/>
      <c r="K33" s="431"/>
      <c r="L33" s="425"/>
      <c r="M33" s="425"/>
      <c r="N33" s="425"/>
      <c r="O33" s="425"/>
      <c r="P33" s="425"/>
      <c r="Q33" s="426"/>
    </row>
    <row r="34" spans="1:17" ht="13.5" customHeight="1">
      <c r="A34" s="426"/>
      <c r="B34" s="444"/>
      <c r="C34" s="433"/>
      <c r="D34" s="66" t="s">
        <v>5</v>
      </c>
      <c r="E34" s="336">
        <f>SUM(F34:J34)</f>
        <v>210</v>
      </c>
      <c r="F34" s="336">
        <f>SUM(F28)</f>
        <v>70</v>
      </c>
      <c r="G34" s="336">
        <f>SUM(G28)</f>
        <v>35</v>
      </c>
      <c r="H34" s="336">
        <f>SUM(H28)</f>
        <v>35</v>
      </c>
      <c r="I34" s="336">
        <f>SUM(I28)</f>
        <v>35</v>
      </c>
      <c r="J34" s="71">
        <f>SUM(J28)</f>
        <v>35</v>
      </c>
      <c r="K34" s="431"/>
      <c r="L34" s="425"/>
      <c r="M34" s="425"/>
      <c r="N34" s="425"/>
      <c r="O34" s="425"/>
      <c r="P34" s="425"/>
      <c r="Q34" s="426"/>
    </row>
    <row r="35" spans="1:17" ht="13.5" customHeight="1" thickBot="1">
      <c r="A35" s="426"/>
      <c r="B35" s="444"/>
      <c r="C35" s="433"/>
      <c r="D35" s="67" t="s">
        <v>6</v>
      </c>
      <c r="E35" s="72">
        <f>SUM(F35:J35)</f>
        <v>0</v>
      </c>
      <c r="F35" s="72">
        <f>SUM(F30)</f>
        <v>0</v>
      </c>
      <c r="G35" s="72">
        <f>SUM(G30)</f>
        <v>0</v>
      </c>
      <c r="H35" s="72">
        <f>SUM(H30)</f>
        <v>0</v>
      </c>
      <c r="I35" s="72">
        <f>SUM(I30)</f>
        <v>0</v>
      </c>
      <c r="J35" s="73">
        <f>SUM(J30)</f>
        <v>0</v>
      </c>
      <c r="K35" s="431"/>
      <c r="L35" s="425"/>
      <c r="M35" s="425"/>
      <c r="N35" s="425"/>
      <c r="O35" s="425"/>
      <c r="P35" s="425"/>
      <c r="Q35" s="426"/>
    </row>
    <row r="36" spans="1:17" ht="15.75" customHeight="1" thickBot="1">
      <c r="A36" s="23" t="s">
        <v>34</v>
      </c>
      <c r="B36" s="546" t="s">
        <v>147</v>
      </c>
      <c r="C36" s="547"/>
      <c r="D36" s="548"/>
      <c r="E36" s="548"/>
      <c r="F36" s="548"/>
      <c r="G36" s="548"/>
      <c r="H36" s="548"/>
      <c r="I36" s="548"/>
      <c r="J36" s="548"/>
      <c r="K36" s="547"/>
      <c r="L36" s="547"/>
      <c r="M36" s="547"/>
      <c r="N36" s="547"/>
      <c r="O36" s="547"/>
      <c r="P36" s="547"/>
      <c r="Q36" s="549"/>
    </row>
    <row r="37" spans="1:17" ht="23.25" customHeight="1">
      <c r="A37" s="455" t="s">
        <v>36</v>
      </c>
      <c r="B37" s="503" t="s">
        <v>83</v>
      </c>
      <c r="C37" s="426" t="s">
        <v>161</v>
      </c>
      <c r="D37" s="173" t="s">
        <v>207</v>
      </c>
      <c r="E37" s="388">
        <f aca="true" t="shared" si="3" ref="E37:J37">SUM(E38:E41)</f>
        <v>1301.9</v>
      </c>
      <c r="F37" s="388">
        <f t="shared" si="3"/>
        <v>821.9</v>
      </c>
      <c r="G37" s="388">
        <f t="shared" si="3"/>
        <v>300</v>
      </c>
      <c r="H37" s="388">
        <f t="shared" si="3"/>
        <v>60</v>
      </c>
      <c r="I37" s="388">
        <f t="shared" si="3"/>
        <v>60</v>
      </c>
      <c r="J37" s="388">
        <f t="shared" si="3"/>
        <v>60</v>
      </c>
      <c r="K37" s="464" t="s">
        <v>258</v>
      </c>
      <c r="L37" s="290"/>
      <c r="M37" s="290"/>
      <c r="N37" s="290"/>
      <c r="O37" s="290"/>
      <c r="P37" s="290"/>
      <c r="Q37" s="167"/>
    </row>
    <row r="38" spans="1:17" ht="11.25" customHeight="1">
      <c r="A38" s="482"/>
      <c r="B38" s="514"/>
      <c r="C38" s="494"/>
      <c r="D38" s="580" t="s">
        <v>212</v>
      </c>
      <c r="E38" s="453">
        <f>SUM(F38:J39)</f>
        <v>546.5</v>
      </c>
      <c r="F38" s="453">
        <f>SUM(F46,F43,F49)</f>
        <v>356.5</v>
      </c>
      <c r="G38" s="453">
        <f>SUM(G46,G43,G49)</f>
        <v>100</v>
      </c>
      <c r="H38" s="453">
        <f>SUM(H46,H43,H49)</f>
        <v>30</v>
      </c>
      <c r="I38" s="453">
        <f>SUM(I46,I43,I49)</f>
        <v>30</v>
      </c>
      <c r="J38" s="453">
        <f>SUM(J46,J43,J49)</f>
        <v>30</v>
      </c>
      <c r="K38" s="470"/>
      <c r="L38" s="480">
        <v>100</v>
      </c>
      <c r="M38" s="480">
        <v>100</v>
      </c>
      <c r="N38" s="480">
        <v>100</v>
      </c>
      <c r="O38" s="480">
        <v>100</v>
      </c>
      <c r="P38" s="480">
        <v>100</v>
      </c>
      <c r="Q38" s="578" t="s">
        <v>132</v>
      </c>
    </row>
    <row r="39" spans="1:17" ht="6" customHeight="1">
      <c r="A39" s="482"/>
      <c r="B39" s="514"/>
      <c r="C39" s="494"/>
      <c r="D39" s="581"/>
      <c r="E39" s="469"/>
      <c r="F39" s="469"/>
      <c r="G39" s="469"/>
      <c r="H39" s="469"/>
      <c r="I39" s="469"/>
      <c r="J39" s="469"/>
      <c r="K39" s="470"/>
      <c r="L39" s="481"/>
      <c r="M39" s="481"/>
      <c r="N39" s="481"/>
      <c r="O39" s="481"/>
      <c r="P39" s="481"/>
      <c r="Q39" s="579"/>
    </row>
    <row r="40" spans="1:17" ht="11.25" customHeight="1">
      <c r="A40" s="482"/>
      <c r="B40" s="514"/>
      <c r="C40" s="494"/>
      <c r="D40" s="581"/>
      <c r="E40" s="453">
        <f>SUM(F40:J41)</f>
        <v>755.4</v>
      </c>
      <c r="F40" s="490">
        <f>SUM(F47,F44,F50)</f>
        <v>465.4</v>
      </c>
      <c r="G40" s="511">
        <f>SUM(G47,G44,G50)</f>
        <v>200</v>
      </c>
      <c r="H40" s="511">
        <f>SUM(H47,H44,H50)</f>
        <v>30</v>
      </c>
      <c r="I40" s="511">
        <f>SUM(I47,I44,I50)</f>
        <v>30</v>
      </c>
      <c r="J40" s="511">
        <f>SUM(J47,J44,J50)</f>
        <v>30</v>
      </c>
      <c r="K40" s="470"/>
      <c r="L40" s="480">
        <v>100</v>
      </c>
      <c r="M40" s="480">
        <v>100</v>
      </c>
      <c r="N40" s="480">
        <v>100</v>
      </c>
      <c r="O40" s="480">
        <v>100</v>
      </c>
      <c r="P40" s="480">
        <v>100</v>
      </c>
      <c r="Q40" s="502" t="s">
        <v>131</v>
      </c>
    </row>
    <row r="41" spans="1:17" ht="6" customHeight="1">
      <c r="A41" s="483"/>
      <c r="B41" s="514"/>
      <c r="C41" s="494"/>
      <c r="D41" s="581"/>
      <c r="E41" s="454"/>
      <c r="F41" s="511"/>
      <c r="G41" s="571"/>
      <c r="H41" s="571"/>
      <c r="I41" s="571"/>
      <c r="J41" s="571"/>
      <c r="K41" s="465"/>
      <c r="L41" s="481"/>
      <c r="M41" s="481"/>
      <c r="N41" s="481"/>
      <c r="O41" s="481"/>
      <c r="P41" s="481"/>
      <c r="Q41" s="502"/>
    </row>
    <row r="42" spans="1:17" ht="20.25" customHeight="1">
      <c r="A42" s="455" t="s">
        <v>82</v>
      </c>
      <c r="B42" s="458" t="s">
        <v>84</v>
      </c>
      <c r="C42" s="461" t="s">
        <v>161</v>
      </c>
      <c r="D42" s="172" t="s">
        <v>207</v>
      </c>
      <c r="E42" s="352">
        <f aca="true" t="shared" si="4" ref="E42:J42">SUM(E43:E44)</f>
        <v>0</v>
      </c>
      <c r="F42" s="352">
        <f t="shared" si="4"/>
        <v>0</v>
      </c>
      <c r="G42" s="352">
        <f t="shared" si="4"/>
        <v>0</v>
      </c>
      <c r="H42" s="352">
        <f t="shared" si="4"/>
        <v>0</v>
      </c>
      <c r="I42" s="352">
        <f t="shared" si="4"/>
        <v>0</v>
      </c>
      <c r="J42" s="61">
        <f t="shared" si="4"/>
        <v>0</v>
      </c>
      <c r="K42" s="544" t="s">
        <v>258</v>
      </c>
      <c r="L42" s="304"/>
      <c r="M42" s="304"/>
      <c r="N42" s="304"/>
      <c r="O42" s="304"/>
      <c r="P42" s="304"/>
      <c r="Q42" s="295"/>
    </row>
    <row r="43" spans="1:17" ht="22.5" customHeight="1">
      <c r="A43" s="482"/>
      <c r="B43" s="574"/>
      <c r="C43" s="484"/>
      <c r="D43" s="275" t="s">
        <v>5</v>
      </c>
      <c r="E43" s="278">
        <f aca="true" t="shared" si="5" ref="E43:E50">SUM(F43:J43)</f>
        <v>0</v>
      </c>
      <c r="F43" s="267">
        <v>0</v>
      </c>
      <c r="G43" s="267">
        <v>0</v>
      </c>
      <c r="H43" s="267">
        <v>0</v>
      </c>
      <c r="I43" s="267">
        <v>0</v>
      </c>
      <c r="J43" s="267">
        <v>0</v>
      </c>
      <c r="K43" s="576"/>
      <c r="L43" s="304">
        <v>0</v>
      </c>
      <c r="M43" s="304">
        <v>0</v>
      </c>
      <c r="N43" s="304">
        <v>0</v>
      </c>
      <c r="O43" s="304">
        <v>0</v>
      </c>
      <c r="P43" s="304">
        <v>0</v>
      </c>
      <c r="Q43" s="168" t="s">
        <v>129</v>
      </c>
    </row>
    <row r="44" spans="1:17" ht="22.5" customHeight="1">
      <c r="A44" s="483"/>
      <c r="B44" s="575"/>
      <c r="C44" s="485"/>
      <c r="D44" s="337" t="s">
        <v>5</v>
      </c>
      <c r="E44" s="278">
        <f t="shared" si="5"/>
        <v>0</v>
      </c>
      <c r="F44" s="267">
        <v>0</v>
      </c>
      <c r="G44" s="267">
        <v>0</v>
      </c>
      <c r="H44" s="267">
        <v>0</v>
      </c>
      <c r="I44" s="267">
        <v>0</v>
      </c>
      <c r="J44" s="267">
        <v>0</v>
      </c>
      <c r="K44" s="577"/>
      <c r="L44" s="304">
        <v>0</v>
      </c>
      <c r="M44" s="304">
        <v>0</v>
      </c>
      <c r="N44" s="304">
        <v>0</v>
      </c>
      <c r="O44" s="304">
        <v>0</v>
      </c>
      <c r="P44" s="304">
        <v>0</v>
      </c>
      <c r="Q44" s="168" t="s">
        <v>130</v>
      </c>
    </row>
    <row r="45" spans="1:17" ht="22.5" customHeight="1">
      <c r="A45" s="455" t="s">
        <v>85</v>
      </c>
      <c r="B45" s="458" t="s">
        <v>86</v>
      </c>
      <c r="C45" s="461" t="s">
        <v>161</v>
      </c>
      <c r="D45" s="172" t="s">
        <v>207</v>
      </c>
      <c r="E45" s="345">
        <f aca="true" t="shared" si="6" ref="E45:J45">SUM(E46:E47)</f>
        <v>242.9</v>
      </c>
      <c r="F45" s="345">
        <f t="shared" si="6"/>
        <v>62.9</v>
      </c>
      <c r="G45" s="345">
        <f t="shared" si="6"/>
        <v>0</v>
      </c>
      <c r="H45" s="345">
        <f t="shared" si="6"/>
        <v>60</v>
      </c>
      <c r="I45" s="345">
        <f t="shared" si="6"/>
        <v>60</v>
      </c>
      <c r="J45" s="293">
        <f t="shared" si="6"/>
        <v>60</v>
      </c>
      <c r="K45" s="544" t="s">
        <v>258</v>
      </c>
      <c r="L45" s="304"/>
      <c r="M45" s="304"/>
      <c r="N45" s="304"/>
      <c r="O45" s="304"/>
      <c r="P45" s="304"/>
      <c r="Q45" s="168"/>
    </row>
    <row r="46" spans="1:17" ht="22.5" customHeight="1">
      <c r="A46" s="482"/>
      <c r="B46" s="574"/>
      <c r="C46" s="484"/>
      <c r="D46" s="275" t="s">
        <v>5</v>
      </c>
      <c r="E46" s="278">
        <f t="shared" si="5"/>
        <v>121.5</v>
      </c>
      <c r="F46" s="267">
        <v>31.5</v>
      </c>
      <c r="G46" s="272">
        <f>30-30</f>
        <v>0</v>
      </c>
      <c r="H46" s="272">
        <v>30</v>
      </c>
      <c r="I46" s="272">
        <v>30</v>
      </c>
      <c r="J46" s="272">
        <v>30</v>
      </c>
      <c r="K46" s="576"/>
      <c r="L46" s="304">
        <v>100</v>
      </c>
      <c r="M46" s="304">
        <v>0</v>
      </c>
      <c r="N46" s="304">
        <v>100</v>
      </c>
      <c r="O46" s="304">
        <v>100</v>
      </c>
      <c r="P46" s="304">
        <v>100</v>
      </c>
      <c r="Q46" s="168" t="s">
        <v>129</v>
      </c>
    </row>
    <row r="47" spans="1:17" ht="22.5" customHeight="1">
      <c r="A47" s="483"/>
      <c r="B47" s="575"/>
      <c r="C47" s="485"/>
      <c r="D47" s="337" t="s">
        <v>5</v>
      </c>
      <c r="E47" s="278">
        <f t="shared" si="5"/>
        <v>121.4</v>
      </c>
      <c r="F47" s="272">
        <v>31.4</v>
      </c>
      <c r="G47" s="272">
        <f>30-30</f>
        <v>0</v>
      </c>
      <c r="H47" s="272">
        <v>30</v>
      </c>
      <c r="I47" s="272">
        <v>30</v>
      </c>
      <c r="J47" s="272">
        <v>30</v>
      </c>
      <c r="K47" s="577"/>
      <c r="L47" s="304">
        <v>100</v>
      </c>
      <c r="M47" s="304">
        <v>0</v>
      </c>
      <c r="N47" s="304">
        <v>100</v>
      </c>
      <c r="O47" s="304">
        <v>100</v>
      </c>
      <c r="P47" s="304">
        <v>100</v>
      </c>
      <c r="Q47" s="168" t="s">
        <v>130</v>
      </c>
    </row>
    <row r="48" spans="1:17" ht="22.5" customHeight="1">
      <c r="A48" s="455" t="s">
        <v>138</v>
      </c>
      <c r="B48" s="458" t="s">
        <v>139</v>
      </c>
      <c r="C48" s="461" t="s">
        <v>161</v>
      </c>
      <c r="D48" s="172" t="s">
        <v>207</v>
      </c>
      <c r="E48" s="352">
        <f aca="true" t="shared" si="7" ref="E48:J48">SUM(E49:E50)</f>
        <v>1059</v>
      </c>
      <c r="F48" s="352">
        <f t="shared" si="7"/>
        <v>759</v>
      </c>
      <c r="G48" s="352">
        <f t="shared" si="7"/>
        <v>300</v>
      </c>
      <c r="H48" s="352">
        <f t="shared" si="7"/>
        <v>0</v>
      </c>
      <c r="I48" s="352">
        <f t="shared" si="7"/>
        <v>0</v>
      </c>
      <c r="J48" s="61">
        <f t="shared" si="7"/>
        <v>0</v>
      </c>
      <c r="K48" s="544" t="s">
        <v>258</v>
      </c>
      <c r="L48" s="304"/>
      <c r="M48" s="304"/>
      <c r="N48" s="304"/>
      <c r="O48" s="304"/>
      <c r="P48" s="304"/>
      <c r="Q48" s="168"/>
    </row>
    <row r="49" spans="1:17" ht="21.75" customHeight="1">
      <c r="A49" s="482"/>
      <c r="B49" s="574"/>
      <c r="C49" s="484"/>
      <c r="D49" s="271" t="s">
        <v>5</v>
      </c>
      <c r="E49" s="276">
        <f t="shared" si="5"/>
        <v>425</v>
      </c>
      <c r="F49" s="281">
        <v>325</v>
      </c>
      <c r="G49" s="281">
        <v>100</v>
      </c>
      <c r="H49" s="281">
        <v>0</v>
      </c>
      <c r="I49" s="281">
        <v>0</v>
      </c>
      <c r="J49" s="281">
        <v>0</v>
      </c>
      <c r="K49" s="576"/>
      <c r="L49" s="304">
        <v>100</v>
      </c>
      <c r="M49" s="304">
        <v>100</v>
      </c>
      <c r="N49" s="304">
        <v>0</v>
      </c>
      <c r="O49" s="304">
        <v>0</v>
      </c>
      <c r="P49" s="304">
        <v>0</v>
      </c>
      <c r="Q49" s="168" t="s">
        <v>129</v>
      </c>
    </row>
    <row r="50" spans="1:17" ht="21.75" customHeight="1">
      <c r="A50" s="483"/>
      <c r="B50" s="575"/>
      <c r="C50" s="485"/>
      <c r="D50" s="271" t="s">
        <v>5</v>
      </c>
      <c r="E50" s="276">
        <f t="shared" si="5"/>
        <v>634</v>
      </c>
      <c r="F50" s="281">
        <v>434</v>
      </c>
      <c r="G50" s="281">
        <v>200</v>
      </c>
      <c r="H50" s="281">
        <v>0</v>
      </c>
      <c r="I50" s="281">
        <v>0</v>
      </c>
      <c r="J50" s="281">
        <v>0</v>
      </c>
      <c r="K50" s="577"/>
      <c r="L50" s="304">
        <v>100</v>
      </c>
      <c r="M50" s="304">
        <v>100</v>
      </c>
      <c r="N50" s="304">
        <v>0</v>
      </c>
      <c r="O50" s="304">
        <v>0</v>
      </c>
      <c r="P50" s="304">
        <v>0</v>
      </c>
      <c r="Q50" s="168" t="s">
        <v>130</v>
      </c>
    </row>
    <row r="51" spans="1:17" ht="6.75" customHeight="1">
      <c r="A51" s="455" t="s">
        <v>64</v>
      </c>
      <c r="B51" s="458" t="s">
        <v>89</v>
      </c>
      <c r="C51" s="461" t="s">
        <v>161</v>
      </c>
      <c r="D51" s="524" t="s">
        <v>259</v>
      </c>
      <c r="E51" s="515">
        <v>920.1</v>
      </c>
      <c r="F51" s="515">
        <f>SUM(F57,F59,F62)</f>
        <v>260.8</v>
      </c>
      <c r="G51" s="515">
        <f>SUM(G54:G55)</f>
        <v>419.3</v>
      </c>
      <c r="H51" s="515">
        <f>SUM(H54:H55)</f>
        <v>80</v>
      </c>
      <c r="I51" s="515">
        <f>SUM(I54:I55)</f>
        <v>80</v>
      </c>
      <c r="J51" s="515">
        <f>SUM(J54:J55)</f>
        <v>80</v>
      </c>
      <c r="K51" s="464"/>
      <c r="L51" s="509"/>
      <c r="M51" s="509"/>
      <c r="N51" s="509"/>
      <c r="O51" s="509"/>
      <c r="P51" s="509"/>
      <c r="Q51" s="502"/>
    </row>
    <row r="52" spans="1:17" ht="6.75" customHeight="1">
      <c r="A52" s="475"/>
      <c r="B52" s="476"/>
      <c r="C52" s="462"/>
      <c r="D52" s="525"/>
      <c r="E52" s="516"/>
      <c r="F52" s="516"/>
      <c r="G52" s="516"/>
      <c r="H52" s="516"/>
      <c r="I52" s="516"/>
      <c r="J52" s="516"/>
      <c r="K52" s="470"/>
      <c r="L52" s="557"/>
      <c r="M52" s="557"/>
      <c r="N52" s="557"/>
      <c r="O52" s="557"/>
      <c r="P52" s="557"/>
      <c r="Q52" s="487"/>
    </row>
    <row r="53" spans="1:17" ht="6.75" customHeight="1">
      <c r="A53" s="475"/>
      <c r="B53" s="476"/>
      <c r="C53" s="462"/>
      <c r="D53" s="525"/>
      <c r="E53" s="523"/>
      <c r="F53" s="523"/>
      <c r="G53" s="523"/>
      <c r="H53" s="523"/>
      <c r="I53" s="523"/>
      <c r="J53" s="523"/>
      <c r="K53" s="470"/>
      <c r="L53" s="557"/>
      <c r="M53" s="557"/>
      <c r="N53" s="557"/>
      <c r="O53" s="557"/>
      <c r="P53" s="557"/>
      <c r="Q53" s="487"/>
    </row>
    <row r="54" spans="1:17" ht="17.25" customHeight="1">
      <c r="A54" s="475"/>
      <c r="B54" s="476"/>
      <c r="C54" s="462"/>
      <c r="D54" s="332" t="s">
        <v>5</v>
      </c>
      <c r="E54" s="338">
        <v>600.8</v>
      </c>
      <c r="F54" s="338">
        <f>F51</f>
        <v>260.8</v>
      </c>
      <c r="G54" s="338">
        <f>SUM(G57,G59,G62)</f>
        <v>100</v>
      </c>
      <c r="H54" s="338">
        <f>H59</f>
        <v>80</v>
      </c>
      <c r="I54" s="338">
        <f>I59</f>
        <v>80</v>
      </c>
      <c r="J54" s="338">
        <f>J59</f>
        <v>80</v>
      </c>
      <c r="K54" s="470"/>
      <c r="L54" s="557"/>
      <c r="M54" s="557"/>
      <c r="N54" s="557"/>
      <c r="O54" s="557"/>
      <c r="P54" s="557"/>
      <c r="Q54" s="487"/>
    </row>
    <row r="55" spans="1:17" ht="17.25" customHeight="1">
      <c r="A55" s="457"/>
      <c r="B55" s="460"/>
      <c r="C55" s="463"/>
      <c r="D55" s="272" t="s">
        <v>6</v>
      </c>
      <c r="E55" s="272">
        <f aca="true" t="shared" si="8" ref="E55:J55">E65</f>
        <v>319.3</v>
      </c>
      <c r="F55" s="272">
        <f t="shared" si="8"/>
        <v>0</v>
      </c>
      <c r="G55" s="272">
        <f t="shared" si="8"/>
        <v>319.3</v>
      </c>
      <c r="H55" s="272">
        <f t="shared" si="8"/>
        <v>0</v>
      </c>
      <c r="I55" s="272">
        <f t="shared" si="8"/>
        <v>0</v>
      </c>
      <c r="J55" s="272">
        <f t="shared" si="8"/>
        <v>0</v>
      </c>
      <c r="K55" s="465"/>
      <c r="L55" s="557"/>
      <c r="M55" s="557"/>
      <c r="N55" s="557"/>
      <c r="O55" s="557"/>
      <c r="P55" s="557"/>
      <c r="Q55" s="487"/>
    </row>
    <row r="56" spans="1:17" ht="24.75" customHeight="1">
      <c r="A56" s="455" t="s">
        <v>87</v>
      </c>
      <c r="B56" s="458" t="s">
        <v>84</v>
      </c>
      <c r="C56" s="461" t="s">
        <v>161</v>
      </c>
      <c r="D56" s="196" t="s">
        <v>207</v>
      </c>
      <c r="E56" s="270">
        <f aca="true" t="shared" si="9" ref="E56:J56">E57</f>
        <v>104.4</v>
      </c>
      <c r="F56" s="270">
        <f t="shared" si="9"/>
        <v>104.4</v>
      </c>
      <c r="G56" s="270">
        <f t="shared" si="9"/>
        <v>0</v>
      </c>
      <c r="H56" s="270">
        <f t="shared" si="9"/>
        <v>0</v>
      </c>
      <c r="I56" s="270">
        <f t="shared" si="9"/>
        <v>0</v>
      </c>
      <c r="J56" s="270">
        <f t="shared" si="9"/>
        <v>0</v>
      </c>
      <c r="K56" s="545" t="s">
        <v>261</v>
      </c>
      <c r="L56" s="509" t="s">
        <v>236</v>
      </c>
      <c r="M56" s="509" t="s">
        <v>213</v>
      </c>
      <c r="N56" s="509" t="s">
        <v>213</v>
      </c>
      <c r="O56" s="509" t="s">
        <v>213</v>
      </c>
      <c r="P56" s="509" t="s">
        <v>213</v>
      </c>
      <c r="Q56" s="522" t="s">
        <v>51</v>
      </c>
    </row>
    <row r="57" spans="1:17" ht="11.25" customHeight="1">
      <c r="A57" s="456"/>
      <c r="B57" s="459"/>
      <c r="C57" s="462"/>
      <c r="D57" s="451" t="s">
        <v>5</v>
      </c>
      <c r="E57" s="454">
        <f>SUM(F57:J58)</f>
        <v>104.4</v>
      </c>
      <c r="F57" s="573">
        <v>104.4</v>
      </c>
      <c r="G57" s="572">
        <v>0</v>
      </c>
      <c r="H57" s="572">
        <v>0</v>
      </c>
      <c r="I57" s="572">
        <v>0</v>
      </c>
      <c r="J57" s="572">
        <v>0</v>
      </c>
      <c r="K57" s="545"/>
      <c r="L57" s="557"/>
      <c r="M57" s="557"/>
      <c r="N57" s="557"/>
      <c r="O57" s="557"/>
      <c r="P57" s="557"/>
      <c r="Q57" s="510"/>
    </row>
    <row r="58" spans="1:17" ht="12.75" customHeight="1">
      <c r="A58" s="457"/>
      <c r="B58" s="460"/>
      <c r="C58" s="463"/>
      <c r="D58" s="452"/>
      <c r="E58" s="469"/>
      <c r="F58" s="559"/>
      <c r="G58" s="571"/>
      <c r="H58" s="571"/>
      <c r="I58" s="571"/>
      <c r="J58" s="571"/>
      <c r="K58" s="545"/>
      <c r="L58" s="557"/>
      <c r="M58" s="557"/>
      <c r="N58" s="557"/>
      <c r="O58" s="557"/>
      <c r="P58" s="557"/>
      <c r="Q58" s="510"/>
    </row>
    <row r="59" spans="1:17" ht="22.5" customHeight="1">
      <c r="A59" s="455" t="s">
        <v>88</v>
      </c>
      <c r="B59" s="458" t="s">
        <v>86</v>
      </c>
      <c r="C59" s="461" t="s">
        <v>161</v>
      </c>
      <c r="D59" s="172" t="s">
        <v>207</v>
      </c>
      <c r="E59" s="269">
        <f aca="true" t="shared" si="10" ref="E59:J59">E60</f>
        <v>332.8</v>
      </c>
      <c r="F59" s="269">
        <f t="shared" si="10"/>
        <v>92.8</v>
      </c>
      <c r="G59" s="269">
        <f t="shared" si="10"/>
        <v>0</v>
      </c>
      <c r="H59" s="269">
        <f t="shared" si="10"/>
        <v>80</v>
      </c>
      <c r="I59" s="269">
        <f t="shared" si="10"/>
        <v>80</v>
      </c>
      <c r="J59" s="269">
        <f t="shared" si="10"/>
        <v>80</v>
      </c>
      <c r="K59" s="545" t="s">
        <v>261</v>
      </c>
      <c r="L59" s="509" t="s">
        <v>236</v>
      </c>
      <c r="M59" s="509" t="s">
        <v>213</v>
      </c>
      <c r="N59" s="509" t="s">
        <v>236</v>
      </c>
      <c r="O59" s="509" t="s">
        <v>236</v>
      </c>
      <c r="P59" s="509" t="s">
        <v>236</v>
      </c>
      <c r="Q59" s="522" t="s">
        <v>51</v>
      </c>
    </row>
    <row r="60" spans="1:17" ht="12" customHeight="1">
      <c r="A60" s="456"/>
      <c r="B60" s="459"/>
      <c r="C60" s="462"/>
      <c r="D60" s="425" t="s">
        <v>5</v>
      </c>
      <c r="E60" s="453">
        <f>SUM(F60:J61)</f>
        <v>332.8</v>
      </c>
      <c r="F60" s="558">
        <v>92.8</v>
      </c>
      <c r="G60" s="511">
        <f>80-80</f>
        <v>0</v>
      </c>
      <c r="H60" s="511">
        <v>80</v>
      </c>
      <c r="I60" s="511">
        <v>80</v>
      </c>
      <c r="J60" s="511">
        <v>80</v>
      </c>
      <c r="K60" s="545"/>
      <c r="L60" s="557"/>
      <c r="M60" s="557"/>
      <c r="N60" s="557"/>
      <c r="O60" s="557"/>
      <c r="P60" s="557"/>
      <c r="Q60" s="510"/>
    </row>
    <row r="61" spans="1:17" ht="12.75" customHeight="1">
      <c r="A61" s="457"/>
      <c r="B61" s="460"/>
      <c r="C61" s="463"/>
      <c r="D61" s="425"/>
      <c r="E61" s="469"/>
      <c r="F61" s="559"/>
      <c r="G61" s="571"/>
      <c r="H61" s="571"/>
      <c r="I61" s="571"/>
      <c r="J61" s="571"/>
      <c r="K61" s="545"/>
      <c r="L61" s="557"/>
      <c r="M61" s="557"/>
      <c r="N61" s="557"/>
      <c r="O61" s="557"/>
      <c r="P61" s="557"/>
      <c r="Q61" s="510"/>
    </row>
    <row r="62" spans="1:17" ht="21" customHeight="1">
      <c r="A62" s="455" t="s">
        <v>140</v>
      </c>
      <c r="B62" s="458" t="s">
        <v>139</v>
      </c>
      <c r="C62" s="461" t="s">
        <v>161</v>
      </c>
      <c r="D62" s="172" t="s">
        <v>207</v>
      </c>
      <c r="E62" s="293">
        <f aca="true" t="shared" si="11" ref="E62:J62">E63</f>
        <v>163.6</v>
      </c>
      <c r="F62" s="293">
        <f t="shared" si="11"/>
        <v>63.6</v>
      </c>
      <c r="G62" s="293">
        <f>G63</f>
        <v>100</v>
      </c>
      <c r="H62" s="293">
        <f t="shared" si="11"/>
        <v>0</v>
      </c>
      <c r="I62" s="293">
        <f t="shared" si="11"/>
        <v>0</v>
      </c>
      <c r="J62" s="293">
        <f t="shared" si="11"/>
        <v>0</v>
      </c>
      <c r="K62" s="464" t="s">
        <v>261</v>
      </c>
      <c r="L62" s="449" t="s">
        <v>236</v>
      </c>
      <c r="M62" s="449" t="s">
        <v>236</v>
      </c>
      <c r="N62" s="449" t="s">
        <v>213</v>
      </c>
      <c r="O62" s="449" t="s">
        <v>213</v>
      </c>
      <c r="P62" s="449" t="s">
        <v>213</v>
      </c>
      <c r="Q62" s="455" t="s">
        <v>51</v>
      </c>
    </row>
    <row r="63" spans="1:17" ht="13.5" customHeight="1">
      <c r="A63" s="565"/>
      <c r="B63" s="565"/>
      <c r="C63" s="565"/>
      <c r="D63" s="285" t="s">
        <v>5</v>
      </c>
      <c r="E63" s="279">
        <f>SUM(F63:J63)</f>
        <v>163.6</v>
      </c>
      <c r="F63" s="286">
        <v>63.6</v>
      </c>
      <c r="G63" s="286">
        <v>100</v>
      </c>
      <c r="H63" s="286">
        <v>0</v>
      </c>
      <c r="I63" s="286">
        <v>0</v>
      </c>
      <c r="J63" s="286">
        <v>0</v>
      </c>
      <c r="K63" s="565"/>
      <c r="L63" s="565"/>
      <c r="M63" s="472"/>
      <c r="N63" s="565"/>
      <c r="O63" s="472"/>
      <c r="P63" s="472"/>
      <c r="Q63" s="565"/>
    </row>
    <row r="64" spans="1:17" ht="67.5" customHeight="1">
      <c r="A64" s="303" t="s">
        <v>294</v>
      </c>
      <c r="B64" s="200" t="s">
        <v>291</v>
      </c>
      <c r="C64" s="445" t="s">
        <v>161</v>
      </c>
      <c r="D64" s="351" t="s">
        <v>249</v>
      </c>
      <c r="E64" s="345">
        <f aca="true" t="shared" si="12" ref="E64:J64">E65+E66</f>
        <v>319.3</v>
      </c>
      <c r="F64" s="345">
        <f t="shared" si="12"/>
        <v>0</v>
      </c>
      <c r="G64" s="345">
        <f t="shared" si="12"/>
        <v>319.3</v>
      </c>
      <c r="H64" s="345">
        <f t="shared" si="12"/>
        <v>0</v>
      </c>
      <c r="I64" s="345">
        <f t="shared" si="12"/>
        <v>0</v>
      </c>
      <c r="J64" s="345">
        <f t="shared" si="12"/>
        <v>0</v>
      </c>
      <c r="K64" s="568" t="s">
        <v>293</v>
      </c>
      <c r="L64" s="451">
        <v>0</v>
      </c>
      <c r="M64" s="451">
        <v>100</v>
      </c>
      <c r="N64" s="451">
        <v>0</v>
      </c>
      <c r="O64" s="451">
        <v>0</v>
      </c>
      <c r="P64" s="451">
        <v>0</v>
      </c>
      <c r="Q64" s="451" t="s">
        <v>51</v>
      </c>
    </row>
    <row r="65" spans="1:17" ht="152.25" customHeight="1">
      <c r="A65" s="303" t="s">
        <v>295</v>
      </c>
      <c r="B65" s="296" t="s">
        <v>292</v>
      </c>
      <c r="C65" s="566"/>
      <c r="D65" s="275" t="s">
        <v>6</v>
      </c>
      <c r="E65" s="278">
        <f>F65+G65+H65+I65+J65</f>
        <v>319.3</v>
      </c>
      <c r="F65" s="278">
        <v>0</v>
      </c>
      <c r="G65" s="278">
        <v>319.3</v>
      </c>
      <c r="H65" s="278">
        <v>0</v>
      </c>
      <c r="I65" s="278">
        <v>0</v>
      </c>
      <c r="J65" s="278">
        <v>0</v>
      </c>
      <c r="K65" s="569"/>
      <c r="L65" s="505"/>
      <c r="M65" s="505"/>
      <c r="N65" s="505"/>
      <c r="O65" s="505"/>
      <c r="P65" s="505"/>
      <c r="Q65" s="505"/>
    </row>
    <row r="66" spans="1:17" ht="24" customHeight="1">
      <c r="A66" s="273" t="s">
        <v>296</v>
      </c>
      <c r="B66" s="296" t="s">
        <v>204</v>
      </c>
      <c r="C66" s="567"/>
      <c r="D66" s="275" t="s">
        <v>5</v>
      </c>
      <c r="E66" s="278">
        <f>F66+G66+H66+I66+J66</f>
        <v>0</v>
      </c>
      <c r="F66" s="278">
        <v>0</v>
      </c>
      <c r="G66" s="278">
        <v>0</v>
      </c>
      <c r="H66" s="278">
        <v>0</v>
      </c>
      <c r="I66" s="278">
        <v>0</v>
      </c>
      <c r="J66" s="278">
        <v>0</v>
      </c>
      <c r="K66" s="570"/>
      <c r="L66" s="531"/>
      <c r="M66" s="531"/>
      <c r="N66" s="531"/>
      <c r="O66" s="531"/>
      <c r="P66" s="531"/>
      <c r="Q66" s="531"/>
    </row>
    <row r="67" spans="1:17" ht="6.75" customHeight="1">
      <c r="A67" s="455" t="s">
        <v>90</v>
      </c>
      <c r="B67" s="458" t="s">
        <v>92</v>
      </c>
      <c r="C67" s="461" t="s">
        <v>161</v>
      </c>
      <c r="D67" s="478" t="s">
        <v>224</v>
      </c>
      <c r="E67" s="562">
        <f>SUM(F67:J70)</f>
        <v>880.8</v>
      </c>
      <c r="F67" s="562">
        <f>SUM(F74,F77,F78)</f>
        <v>800.8</v>
      </c>
      <c r="G67" s="562">
        <f>SUM(G74,G77)</f>
        <v>20</v>
      </c>
      <c r="H67" s="562">
        <f>SUM(H74,H77)</f>
        <v>20</v>
      </c>
      <c r="I67" s="562">
        <f>SUM(I74,I77)</f>
        <v>20</v>
      </c>
      <c r="J67" s="562">
        <f>SUM(J74,J77)</f>
        <v>20</v>
      </c>
      <c r="K67" s="513"/>
      <c r="L67" s="509"/>
      <c r="M67" s="509"/>
      <c r="N67" s="509"/>
      <c r="O67" s="509"/>
      <c r="P67" s="509"/>
      <c r="Q67" s="502"/>
    </row>
    <row r="68" spans="1:17" ht="6.75" customHeight="1">
      <c r="A68" s="475"/>
      <c r="B68" s="476"/>
      <c r="C68" s="462"/>
      <c r="D68" s="517"/>
      <c r="E68" s="563"/>
      <c r="F68" s="563"/>
      <c r="G68" s="563"/>
      <c r="H68" s="563"/>
      <c r="I68" s="563"/>
      <c r="J68" s="563"/>
      <c r="K68" s="545"/>
      <c r="L68" s="557"/>
      <c r="M68" s="557"/>
      <c r="N68" s="557"/>
      <c r="O68" s="557"/>
      <c r="P68" s="557"/>
      <c r="Q68" s="487"/>
    </row>
    <row r="69" spans="1:17" ht="10.5" customHeight="1">
      <c r="A69" s="475"/>
      <c r="B69" s="476"/>
      <c r="C69" s="462"/>
      <c r="D69" s="517"/>
      <c r="E69" s="563"/>
      <c r="F69" s="563"/>
      <c r="G69" s="563"/>
      <c r="H69" s="563"/>
      <c r="I69" s="563"/>
      <c r="J69" s="563"/>
      <c r="K69" s="545"/>
      <c r="L69" s="557"/>
      <c r="M69" s="557"/>
      <c r="N69" s="557"/>
      <c r="O69" s="557"/>
      <c r="P69" s="557"/>
      <c r="Q69" s="487"/>
    </row>
    <row r="70" spans="1:17" ht="10.5" customHeight="1">
      <c r="A70" s="475"/>
      <c r="B70" s="476"/>
      <c r="C70" s="462"/>
      <c r="D70" s="479"/>
      <c r="E70" s="564"/>
      <c r="F70" s="564"/>
      <c r="G70" s="564"/>
      <c r="H70" s="564"/>
      <c r="I70" s="564"/>
      <c r="J70" s="564"/>
      <c r="K70" s="545"/>
      <c r="L70" s="557"/>
      <c r="M70" s="557"/>
      <c r="N70" s="557"/>
      <c r="O70" s="557"/>
      <c r="P70" s="557"/>
      <c r="Q70" s="487"/>
    </row>
    <row r="71" spans="1:17" ht="14.25" customHeight="1">
      <c r="A71" s="456"/>
      <c r="B71" s="459"/>
      <c r="C71" s="462"/>
      <c r="D71" s="275" t="s">
        <v>5</v>
      </c>
      <c r="E71" s="193">
        <f>F71+G71+H71+I71+J71</f>
        <v>611.8</v>
      </c>
      <c r="F71" s="193">
        <f>F74+F77</f>
        <v>531.8</v>
      </c>
      <c r="G71" s="193">
        <f>G67</f>
        <v>20</v>
      </c>
      <c r="H71" s="193">
        <f>H67</f>
        <v>20</v>
      </c>
      <c r="I71" s="193">
        <f>I67</f>
        <v>20</v>
      </c>
      <c r="J71" s="193">
        <f>J67</f>
        <v>20</v>
      </c>
      <c r="K71" s="545"/>
      <c r="L71" s="557"/>
      <c r="M71" s="557"/>
      <c r="N71" s="557"/>
      <c r="O71" s="557"/>
      <c r="P71" s="557"/>
      <c r="Q71" s="487"/>
    </row>
    <row r="72" spans="1:17" ht="12" customHeight="1">
      <c r="A72" s="457"/>
      <c r="B72" s="460"/>
      <c r="C72" s="463"/>
      <c r="D72" s="275" t="s">
        <v>6</v>
      </c>
      <c r="E72" s="193">
        <f aca="true" t="shared" si="13" ref="E72:J72">E78</f>
        <v>269</v>
      </c>
      <c r="F72" s="193">
        <f t="shared" si="13"/>
        <v>269</v>
      </c>
      <c r="G72" s="193">
        <f t="shared" si="13"/>
        <v>0</v>
      </c>
      <c r="H72" s="193">
        <f t="shared" si="13"/>
        <v>0</v>
      </c>
      <c r="I72" s="193">
        <f t="shared" si="13"/>
        <v>0</v>
      </c>
      <c r="J72" s="193">
        <f t="shared" si="13"/>
        <v>0</v>
      </c>
      <c r="K72" s="545"/>
      <c r="L72" s="557"/>
      <c r="M72" s="557"/>
      <c r="N72" s="557"/>
      <c r="O72" s="557"/>
      <c r="P72" s="557"/>
      <c r="Q72" s="487"/>
    </row>
    <row r="73" spans="1:17" ht="24" customHeight="1">
      <c r="A73" s="455" t="s">
        <v>91</v>
      </c>
      <c r="B73" s="458" t="s">
        <v>86</v>
      </c>
      <c r="C73" s="461" t="s">
        <v>161</v>
      </c>
      <c r="D73" s="196" t="s">
        <v>207</v>
      </c>
      <c r="E73" s="194">
        <f aca="true" t="shared" si="14" ref="E73:J73">E74</f>
        <v>158.8</v>
      </c>
      <c r="F73" s="194">
        <f t="shared" si="14"/>
        <v>78.8</v>
      </c>
      <c r="G73" s="194">
        <f t="shared" si="14"/>
        <v>20</v>
      </c>
      <c r="H73" s="194">
        <f t="shared" si="14"/>
        <v>20</v>
      </c>
      <c r="I73" s="194">
        <f t="shared" si="14"/>
        <v>20</v>
      </c>
      <c r="J73" s="194">
        <f t="shared" si="14"/>
        <v>20</v>
      </c>
      <c r="K73" s="513" t="s">
        <v>261</v>
      </c>
      <c r="L73" s="509" t="s">
        <v>236</v>
      </c>
      <c r="M73" s="509" t="s">
        <v>236</v>
      </c>
      <c r="N73" s="509" t="s">
        <v>236</v>
      </c>
      <c r="O73" s="509" t="s">
        <v>236</v>
      </c>
      <c r="P73" s="509" t="s">
        <v>236</v>
      </c>
      <c r="Q73" s="455" t="s">
        <v>142</v>
      </c>
    </row>
    <row r="74" spans="1:17" ht="13.5" customHeight="1">
      <c r="A74" s="456"/>
      <c r="B74" s="459"/>
      <c r="C74" s="477"/>
      <c r="D74" s="425" t="s">
        <v>5</v>
      </c>
      <c r="E74" s="560">
        <f>SUM(F74:J75)</f>
        <v>158.8</v>
      </c>
      <c r="F74" s="558">
        <f>118.8-40</f>
        <v>78.8</v>
      </c>
      <c r="G74" s="558">
        <v>20</v>
      </c>
      <c r="H74" s="558">
        <v>20</v>
      </c>
      <c r="I74" s="558">
        <v>20</v>
      </c>
      <c r="J74" s="558">
        <v>20</v>
      </c>
      <c r="K74" s="545"/>
      <c r="L74" s="557"/>
      <c r="M74" s="557"/>
      <c r="N74" s="557"/>
      <c r="O74" s="557"/>
      <c r="P74" s="557"/>
      <c r="Q74" s="475"/>
    </row>
    <row r="75" spans="1:17" ht="11.25" customHeight="1">
      <c r="A75" s="457"/>
      <c r="B75" s="460"/>
      <c r="C75" s="477"/>
      <c r="D75" s="425"/>
      <c r="E75" s="561"/>
      <c r="F75" s="559"/>
      <c r="G75" s="559"/>
      <c r="H75" s="559"/>
      <c r="I75" s="559"/>
      <c r="J75" s="559"/>
      <c r="K75" s="545"/>
      <c r="L75" s="557"/>
      <c r="M75" s="557"/>
      <c r="N75" s="557"/>
      <c r="O75" s="557"/>
      <c r="P75" s="557"/>
      <c r="Q75" s="529"/>
    </row>
    <row r="76" spans="1:17" ht="22.5" customHeight="1">
      <c r="A76" s="455" t="s">
        <v>141</v>
      </c>
      <c r="B76" s="458" t="s">
        <v>139</v>
      </c>
      <c r="C76" s="426" t="s">
        <v>260</v>
      </c>
      <c r="D76" s="172" t="s">
        <v>207</v>
      </c>
      <c r="E76" s="194">
        <f aca="true" t="shared" si="15" ref="E76:J76">E78+E77</f>
        <v>722</v>
      </c>
      <c r="F76" s="194">
        <f t="shared" si="15"/>
        <v>722</v>
      </c>
      <c r="G76" s="194">
        <f t="shared" si="15"/>
        <v>0</v>
      </c>
      <c r="H76" s="194">
        <f t="shared" si="15"/>
        <v>0</v>
      </c>
      <c r="I76" s="194">
        <f t="shared" si="15"/>
        <v>0</v>
      </c>
      <c r="J76" s="194">
        <f t="shared" si="15"/>
        <v>0</v>
      </c>
      <c r="K76" s="513" t="s">
        <v>261</v>
      </c>
      <c r="L76" s="509" t="s">
        <v>236</v>
      </c>
      <c r="M76" s="509" t="s">
        <v>213</v>
      </c>
      <c r="N76" s="509" t="s">
        <v>213</v>
      </c>
      <c r="O76" s="509" t="s">
        <v>213</v>
      </c>
      <c r="P76" s="509" t="s">
        <v>213</v>
      </c>
      <c r="Q76" s="455" t="s">
        <v>142</v>
      </c>
    </row>
    <row r="77" spans="1:17" ht="13.5" customHeight="1">
      <c r="A77" s="456"/>
      <c r="B77" s="459"/>
      <c r="C77" s="553"/>
      <c r="D77" s="332" t="s">
        <v>5</v>
      </c>
      <c r="E77" s="116">
        <f>SUM(F77:J77)</f>
        <v>453</v>
      </c>
      <c r="F77" s="299">
        <v>453</v>
      </c>
      <c r="G77" s="299">
        <v>0</v>
      </c>
      <c r="H77" s="299">
        <v>0</v>
      </c>
      <c r="I77" s="287">
        <v>0</v>
      </c>
      <c r="J77" s="287">
        <v>0</v>
      </c>
      <c r="K77" s="545"/>
      <c r="L77" s="557"/>
      <c r="M77" s="557"/>
      <c r="N77" s="557"/>
      <c r="O77" s="557"/>
      <c r="P77" s="557"/>
      <c r="Q77" s="475"/>
    </row>
    <row r="78" spans="1:17" ht="12" customHeight="1" thickBot="1">
      <c r="A78" s="457"/>
      <c r="B78" s="460"/>
      <c r="C78" s="553"/>
      <c r="D78" s="337" t="s">
        <v>6</v>
      </c>
      <c r="E78" s="300">
        <f>SUM(F78:J78)</f>
        <v>269</v>
      </c>
      <c r="F78" s="287">
        <v>269</v>
      </c>
      <c r="G78" s="287">
        <v>0</v>
      </c>
      <c r="H78" s="287">
        <v>0</v>
      </c>
      <c r="I78" s="287">
        <v>0</v>
      </c>
      <c r="J78" s="287">
        <v>0</v>
      </c>
      <c r="K78" s="545"/>
      <c r="L78" s="557"/>
      <c r="M78" s="557"/>
      <c r="N78" s="557"/>
      <c r="O78" s="557"/>
      <c r="P78" s="557"/>
      <c r="Q78" s="529"/>
    </row>
    <row r="79" spans="1:17" ht="18" customHeight="1">
      <c r="A79" s="426"/>
      <c r="B79" s="444" t="s">
        <v>48</v>
      </c>
      <c r="C79" s="433"/>
      <c r="D79" s="435" t="s">
        <v>207</v>
      </c>
      <c r="E79" s="437">
        <f aca="true" t="shared" si="16" ref="E79:J79">SUM(E81:E82)</f>
        <v>3102.8</v>
      </c>
      <c r="F79" s="437">
        <f t="shared" si="16"/>
        <v>1883.5</v>
      </c>
      <c r="G79" s="437">
        <f t="shared" si="16"/>
        <v>739.3</v>
      </c>
      <c r="H79" s="437">
        <f t="shared" si="16"/>
        <v>160</v>
      </c>
      <c r="I79" s="437">
        <f t="shared" si="16"/>
        <v>160</v>
      </c>
      <c r="J79" s="439">
        <f t="shared" si="16"/>
        <v>160</v>
      </c>
      <c r="K79" s="550"/>
      <c r="L79" s="545"/>
      <c r="M79" s="545"/>
      <c r="N79" s="545"/>
      <c r="O79" s="545"/>
      <c r="P79" s="545"/>
      <c r="Q79" s="545"/>
    </row>
    <row r="80" spans="1:17" ht="12.75" customHeight="1">
      <c r="A80" s="426"/>
      <c r="B80" s="444"/>
      <c r="C80" s="433"/>
      <c r="D80" s="556"/>
      <c r="E80" s="438"/>
      <c r="F80" s="438"/>
      <c r="G80" s="438"/>
      <c r="H80" s="438"/>
      <c r="I80" s="438"/>
      <c r="J80" s="440"/>
      <c r="K80" s="551"/>
      <c r="L80" s="545"/>
      <c r="M80" s="545"/>
      <c r="N80" s="545"/>
      <c r="O80" s="545"/>
      <c r="P80" s="545"/>
      <c r="Q80" s="545"/>
    </row>
    <row r="81" spans="1:17" ht="14.25" customHeight="1">
      <c r="A81" s="426"/>
      <c r="B81" s="444"/>
      <c r="C81" s="433"/>
      <c r="D81" s="66" t="s">
        <v>5</v>
      </c>
      <c r="E81" s="336">
        <f>SUM(F81:J81)</f>
        <v>2514.5</v>
      </c>
      <c r="F81" s="336">
        <f>SUM(F74,F77,F51,F38,F40)</f>
        <v>1614.5</v>
      </c>
      <c r="G81" s="336">
        <f>SUM(G67,G54,G38,G40)</f>
        <v>420</v>
      </c>
      <c r="H81" s="336">
        <f>SUM(H67,H51,H38,H40)</f>
        <v>160</v>
      </c>
      <c r="I81" s="336">
        <f>SUM(I67,I51,I38,I40)</f>
        <v>160</v>
      </c>
      <c r="J81" s="71">
        <f>SUM(J67,J51,J38,J40)</f>
        <v>160</v>
      </c>
      <c r="K81" s="551"/>
      <c r="L81" s="545"/>
      <c r="M81" s="545"/>
      <c r="N81" s="545"/>
      <c r="O81" s="545"/>
      <c r="P81" s="545"/>
      <c r="Q81" s="545"/>
    </row>
    <row r="82" spans="1:17" ht="14.25" customHeight="1" thickBot="1">
      <c r="A82" s="553"/>
      <c r="B82" s="554"/>
      <c r="C82" s="555"/>
      <c r="D82" s="67" t="s">
        <v>6</v>
      </c>
      <c r="E82" s="72">
        <f>SUM(F82:J82)</f>
        <v>588.3</v>
      </c>
      <c r="F82" s="72">
        <f>F78</f>
        <v>269</v>
      </c>
      <c r="G82" s="72">
        <f>G78+G65</f>
        <v>319.3</v>
      </c>
      <c r="H82" s="72">
        <f>H78</f>
        <v>0</v>
      </c>
      <c r="I82" s="72">
        <f>I78</f>
        <v>0</v>
      </c>
      <c r="J82" s="73">
        <f>J78</f>
        <v>0</v>
      </c>
      <c r="K82" s="552"/>
      <c r="L82" s="521"/>
      <c r="M82" s="521"/>
      <c r="N82" s="521"/>
      <c r="O82" s="521"/>
      <c r="P82" s="521"/>
      <c r="Q82" s="521"/>
    </row>
    <row r="83" spans="1:17" ht="13.5" customHeight="1">
      <c r="A83" s="23" t="s">
        <v>38</v>
      </c>
      <c r="B83" s="546" t="s">
        <v>93</v>
      </c>
      <c r="C83" s="547"/>
      <c r="D83" s="548"/>
      <c r="E83" s="548"/>
      <c r="F83" s="548"/>
      <c r="G83" s="548"/>
      <c r="H83" s="548"/>
      <c r="I83" s="548"/>
      <c r="J83" s="548"/>
      <c r="K83" s="547"/>
      <c r="L83" s="547"/>
      <c r="M83" s="547"/>
      <c r="N83" s="547"/>
      <c r="O83" s="547"/>
      <c r="P83" s="547"/>
      <c r="Q83" s="549"/>
    </row>
    <row r="84" spans="1:17" ht="16.5" customHeight="1">
      <c r="A84" s="455" t="s">
        <v>39</v>
      </c>
      <c r="B84" s="458" t="s">
        <v>58</v>
      </c>
      <c r="C84" s="461" t="s">
        <v>161</v>
      </c>
      <c r="D84" s="478" t="s">
        <v>223</v>
      </c>
      <c r="E84" s="515">
        <f aca="true" t="shared" si="17" ref="E84:J84">SUM(E91:E93)</f>
        <v>363716.4000000001</v>
      </c>
      <c r="F84" s="515">
        <f t="shared" si="17"/>
        <v>75088</v>
      </c>
      <c r="G84" s="515">
        <f t="shared" si="17"/>
        <v>75143.5</v>
      </c>
      <c r="H84" s="515">
        <f t="shared" si="17"/>
        <v>67266.90000000001</v>
      </c>
      <c r="I84" s="515">
        <f t="shared" si="17"/>
        <v>73109</v>
      </c>
      <c r="J84" s="515">
        <f t="shared" si="17"/>
        <v>73109</v>
      </c>
      <c r="K84" s="513" t="s">
        <v>262</v>
      </c>
      <c r="L84" s="509" t="s">
        <v>236</v>
      </c>
      <c r="M84" s="509" t="s">
        <v>236</v>
      </c>
      <c r="N84" s="509" t="s">
        <v>236</v>
      </c>
      <c r="O84" s="509" t="s">
        <v>236</v>
      </c>
      <c r="P84" s="509" t="s">
        <v>236</v>
      </c>
      <c r="Q84" s="509" t="s">
        <v>99</v>
      </c>
    </row>
    <row r="85" spans="1:17" ht="13.5" customHeight="1">
      <c r="A85" s="475"/>
      <c r="B85" s="476"/>
      <c r="C85" s="477"/>
      <c r="D85" s="517"/>
      <c r="E85" s="516"/>
      <c r="F85" s="516"/>
      <c r="G85" s="516"/>
      <c r="H85" s="516"/>
      <c r="I85" s="516"/>
      <c r="J85" s="516"/>
      <c r="K85" s="513"/>
      <c r="L85" s="509"/>
      <c r="M85" s="509"/>
      <c r="N85" s="509"/>
      <c r="O85" s="509"/>
      <c r="P85" s="509"/>
      <c r="Q85" s="509"/>
    </row>
    <row r="86" spans="1:17" ht="9" customHeight="1" hidden="1">
      <c r="A86" s="475"/>
      <c r="B86" s="476"/>
      <c r="C86" s="477"/>
      <c r="D86" s="517"/>
      <c r="E86" s="516"/>
      <c r="F86" s="516"/>
      <c r="G86" s="516"/>
      <c r="H86" s="516"/>
      <c r="I86" s="516"/>
      <c r="J86" s="516"/>
      <c r="K86" s="513"/>
      <c r="L86" s="509"/>
      <c r="M86" s="509"/>
      <c r="N86" s="509"/>
      <c r="O86" s="509"/>
      <c r="P86" s="509"/>
      <c r="Q86" s="509"/>
    </row>
    <row r="87" spans="1:17" ht="16.5" customHeight="1">
      <c r="A87" s="475"/>
      <c r="B87" s="476"/>
      <c r="C87" s="477"/>
      <c r="D87" s="479"/>
      <c r="E87" s="523"/>
      <c r="F87" s="523"/>
      <c r="G87" s="523"/>
      <c r="H87" s="523"/>
      <c r="I87" s="523"/>
      <c r="J87" s="523"/>
      <c r="K87" s="513"/>
      <c r="L87" s="509"/>
      <c r="M87" s="509"/>
      <c r="N87" s="509"/>
      <c r="O87" s="509"/>
      <c r="P87" s="509"/>
      <c r="Q87" s="509"/>
    </row>
    <row r="88" spans="1:17" ht="13.5" customHeight="1">
      <c r="A88" s="456"/>
      <c r="B88" s="459"/>
      <c r="C88" s="462"/>
      <c r="D88" s="289" t="s">
        <v>5</v>
      </c>
      <c r="E88" s="277">
        <f aca="true" t="shared" si="18" ref="E88:J88">E90</f>
        <v>123551.70000000001</v>
      </c>
      <c r="F88" s="277">
        <f t="shared" si="18"/>
        <v>28491.4</v>
      </c>
      <c r="G88" s="277">
        <f t="shared" si="18"/>
        <v>26384</v>
      </c>
      <c r="H88" s="277">
        <f t="shared" si="18"/>
        <v>20892.1</v>
      </c>
      <c r="I88" s="277">
        <f t="shared" si="18"/>
        <v>23892.1</v>
      </c>
      <c r="J88" s="277">
        <f t="shared" si="18"/>
        <v>23892.1</v>
      </c>
      <c r="K88" s="521"/>
      <c r="L88" s="510"/>
      <c r="M88" s="510"/>
      <c r="N88" s="510"/>
      <c r="O88" s="510"/>
      <c r="P88" s="510"/>
      <c r="Q88" s="510"/>
    </row>
    <row r="89" spans="1:17" ht="13.5" customHeight="1">
      <c r="A89" s="457"/>
      <c r="B89" s="460"/>
      <c r="C89" s="463"/>
      <c r="D89" s="289" t="s">
        <v>6</v>
      </c>
      <c r="E89" s="277">
        <f aca="true" t="shared" si="19" ref="E89:J89">E92</f>
        <v>240164.70000000007</v>
      </c>
      <c r="F89" s="277">
        <f t="shared" si="19"/>
        <v>46596.6</v>
      </c>
      <c r="G89" s="277">
        <f t="shared" si="19"/>
        <v>48759.5</v>
      </c>
      <c r="H89" s="277">
        <f t="shared" si="19"/>
        <v>46374.80000000001</v>
      </c>
      <c r="I89" s="277">
        <f t="shared" si="19"/>
        <v>49216.90000000001</v>
      </c>
      <c r="J89" s="277">
        <f t="shared" si="19"/>
        <v>49216.90000000001</v>
      </c>
      <c r="K89" s="521"/>
      <c r="L89" s="510"/>
      <c r="M89" s="510"/>
      <c r="N89" s="510"/>
      <c r="O89" s="510"/>
      <c r="P89" s="510"/>
      <c r="Q89" s="510"/>
    </row>
    <row r="90" spans="1:17" ht="26.25" customHeight="1">
      <c r="A90" s="455" t="s">
        <v>94</v>
      </c>
      <c r="B90" s="458" t="s">
        <v>109</v>
      </c>
      <c r="C90" s="461" t="s">
        <v>161</v>
      </c>
      <c r="D90" s="196" t="s">
        <v>207</v>
      </c>
      <c r="E90" s="270">
        <f aca="true" t="shared" si="20" ref="E90:J90">E91</f>
        <v>123551.70000000001</v>
      </c>
      <c r="F90" s="270">
        <f t="shared" si="20"/>
        <v>28491.4</v>
      </c>
      <c r="G90" s="270">
        <f t="shared" si="20"/>
        <v>26384</v>
      </c>
      <c r="H90" s="270">
        <f t="shared" si="20"/>
        <v>20892.1</v>
      </c>
      <c r="I90" s="270">
        <f t="shared" si="20"/>
        <v>23892.1</v>
      </c>
      <c r="J90" s="270">
        <f t="shared" si="20"/>
        <v>23892.1</v>
      </c>
      <c r="K90" s="513" t="s">
        <v>263</v>
      </c>
      <c r="L90" s="509" t="s">
        <v>236</v>
      </c>
      <c r="M90" s="509" t="s">
        <v>236</v>
      </c>
      <c r="N90" s="509" t="s">
        <v>236</v>
      </c>
      <c r="O90" s="509" t="s">
        <v>236</v>
      </c>
      <c r="P90" s="509" t="s">
        <v>236</v>
      </c>
      <c r="Q90" s="449" t="s">
        <v>99</v>
      </c>
    </row>
    <row r="91" spans="1:17" ht="20.25" customHeight="1">
      <c r="A91" s="457"/>
      <c r="B91" s="460"/>
      <c r="C91" s="463"/>
      <c r="D91" s="275" t="s">
        <v>5</v>
      </c>
      <c r="E91" s="278">
        <f>SUM(F91:J91)</f>
        <v>123551.70000000001</v>
      </c>
      <c r="F91" s="272">
        <v>28491.4</v>
      </c>
      <c r="G91" s="239">
        <f>23892.1-1000-600+3810.3+312.7-31.1</f>
        <v>26384</v>
      </c>
      <c r="H91" s="267">
        <v>20892.1</v>
      </c>
      <c r="I91" s="267">
        <v>23892.1</v>
      </c>
      <c r="J91" s="267">
        <v>23892.1</v>
      </c>
      <c r="K91" s="521"/>
      <c r="L91" s="510"/>
      <c r="M91" s="510"/>
      <c r="N91" s="510"/>
      <c r="O91" s="510"/>
      <c r="P91" s="510"/>
      <c r="Q91" s="448"/>
    </row>
    <row r="92" spans="1:17" ht="25.5" customHeight="1">
      <c r="A92" s="455" t="s">
        <v>95</v>
      </c>
      <c r="B92" s="455" t="s">
        <v>100</v>
      </c>
      <c r="C92" s="461" t="s">
        <v>161</v>
      </c>
      <c r="D92" s="478" t="s">
        <v>220</v>
      </c>
      <c r="E92" s="515">
        <f>F92+G92+H92+I92+J92</f>
        <v>240164.70000000007</v>
      </c>
      <c r="F92" s="515">
        <f>F96+F101+F104+F107+F109</f>
        <v>46596.6</v>
      </c>
      <c r="G92" s="515">
        <f>G96+G101+G104+G107+G109</f>
        <v>48759.5</v>
      </c>
      <c r="H92" s="515">
        <f>H96+H101+H104+H107+H109</f>
        <v>46374.80000000001</v>
      </c>
      <c r="I92" s="515">
        <f>I96+I101+I104+I107+I109</f>
        <v>49216.90000000001</v>
      </c>
      <c r="J92" s="515">
        <f>J96+J101+J104+J107+J109</f>
        <v>49216.90000000001</v>
      </c>
      <c r="K92" s="544" t="s">
        <v>263</v>
      </c>
      <c r="L92" s="480">
        <v>100</v>
      </c>
      <c r="M92" s="480">
        <v>100</v>
      </c>
      <c r="N92" s="480">
        <v>100</v>
      </c>
      <c r="O92" s="480">
        <v>100</v>
      </c>
      <c r="P92" s="480">
        <v>100</v>
      </c>
      <c r="Q92" s="449" t="s">
        <v>99</v>
      </c>
    </row>
    <row r="93" spans="1:17" ht="6" customHeight="1">
      <c r="A93" s="475"/>
      <c r="B93" s="475"/>
      <c r="C93" s="477"/>
      <c r="D93" s="479"/>
      <c r="E93" s="448"/>
      <c r="F93" s="448"/>
      <c r="G93" s="448"/>
      <c r="H93" s="448"/>
      <c r="I93" s="448"/>
      <c r="J93" s="448"/>
      <c r="K93" s="470"/>
      <c r="L93" s="543"/>
      <c r="M93" s="543"/>
      <c r="N93" s="543"/>
      <c r="O93" s="543"/>
      <c r="P93" s="543"/>
      <c r="Q93" s="450"/>
    </row>
    <row r="94" spans="1:17" ht="15.75" customHeight="1">
      <c r="A94" s="457"/>
      <c r="B94" s="457"/>
      <c r="C94" s="463"/>
      <c r="D94" s="285" t="s">
        <v>6</v>
      </c>
      <c r="E94" s="279">
        <f aca="true" t="shared" si="21" ref="E94:J94">E92</f>
        <v>240164.70000000007</v>
      </c>
      <c r="F94" s="279">
        <f t="shared" si="21"/>
        <v>46596.6</v>
      </c>
      <c r="G94" s="279">
        <f t="shared" si="21"/>
        <v>48759.5</v>
      </c>
      <c r="H94" s="279">
        <f t="shared" si="21"/>
        <v>46374.80000000001</v>
      </c>
      <c r="I94" s="279">
        <f t="shared" si="21"/>
        <v>49216.90000000001</v>
      </c>
      <c r="J94" s="279">
        <f t="shared" si="21"/>
        <v>49216.90000000001</v>
      </c>
      <c r="K94" s="465"/>
      <c r="L94" s="448"/>
      <c r="M94" s="448"/>
      <c r="N94" s="448"/>
      <c r="O94" s="448"/>
      <c r="P94" s="448"/>
      <c r="Q94" s="448"/>
    </row>
    <row r="95" spans="1:17" ht="24.75" customHeight="1">
      <c r="A95" s="455" t="s">
        <v>101</v>
      </c>
      <c r="B95" s="458" t="s">
        <v>103</v>
      </c>
      <c r="C95" s="461" t="s">
        <v>161</v>
      </c>
      <c r="D95" s="172" t="s">
        <v>207</v>
      </c>
      <c r="E95" s="293">
        <f aca="true" t="shared" si="22" ref="E95:J95">E96</f>
        <v>8650.4</v>
      </c>
      <c r="F95" s="293">
        <f t="shared" si="22"/>
        <v>1840</v>
      </c>
      <c r="G95" s="293">
        <f t="shared" si="22"/>
        <v>1934</v>
      </c>
      <c r="H95" s="293">
        <f t="shared" si="22"/>
        <v>1550</v>
      </c>
      <c r="I95" s="293">
        <f t="shared" si="22"/>
        <v>1663.2</v>
      </c>
      <c r="J95" s="293">
        <f t="shared" si="22"/>
        <v>1663.2</v>
      </c>
      <c r="K95" s="464" t="s">
        <v>264</v>
      </c>
      <c r="L95" s="449" t="s">
        <v>236</v>
      </c>
      <c r="M95" s="449" t="s">
        <v>236</v>
      </c>
      <c r="N95" s="449" t="s">
        <v>236</v>
      </c>
      <c r="O95" s="449" t="s">
        <v>236</v>
      </c>
      <c r="P95" s="449" t="s">
        <v>236</v>
      </c>
      <c r="Q95" s="449" t="s">
        <v>99</v>
      </c>
    </row>
    <row r="96" spans="1:17" ht="19.5" customHeight="1">
      <c r="A96" s="456"/>
      <c r="B96" s="527"/>
      <c r="C96" s="541"/>
      <c r="D96" s="451" t="s">
        <v>6</v>
      </c>
      <c r="E96" s="453">
        <f>SUM(F96:J97)</f>
        <v>8650.4</v>
      </c>
      <c r="F96" s="453">
        <v>1840</v>
      </c>
      <c r="G96" s="532">
        <v>1934</v>
      </c>
      <c r="H96" s="499">
        <f>2100-550</f>
        <v>1550</v>
      </c>
      <c r="I96" s="499">
        <f>2200-536.8</f>
        <v>1663.2</v>
      </c>
      <c r="J96" s="499">
        <f>2200-536.8</f>
        <v>1663.2</v>
      </c>
      <c r="K96" s="470"/>
      <c r="L96" s="471"/>
      <c r="M96" s="471"/>
      <c r="N96" s="471"/>
      <c r="O96" s="471"/>
      <c r="P96" s="471"/>
      <c r="Q96" s="450"/>
    </row>
    <row r="97" spans="1:17" ht="26.25" customHeight="1">
      <c r="A97" s="456"/>
      <c r="B97" s="527"/>
      <c r="C97" s="541"/>
      <c r="D97" s="452"/>
      <c r="E97" s="454"/>
      <c r="F97" s="454"/>
      <c r="G97" s="533"/>
      <c r="H97" s="536"/>
      <c r="I97" s="536"/>
      <c r="J97" s="536"/>
      <c r="K97" s="470"/>
      <c r="L97" s="471"/>
      <c r="M97" s="471"/>
      <c r="N97" s="471"/>
      <c r="O97" s="471"/>
      <c r="P97" s="471"/>
      <c r="Q97" s="450"/>
    </row>
    <row r="98" spans="1:17" ht="6" customHeight="1">
      <c r="A98" s="456"/>
      <c r="B98" s="527"/>
      <c r="C98" s="541"/>
      <c r="D98" s="505"/>
      <c r="E98" s="450"/>
      <c r="F98" s="505"/>
      <c r="G98" s="534"/>
      <c r="H98" s="537"/>
      <c r="I98" s="539"/>
      <c r="J98" s="539"/>
      <c r="K98" s="470"/>
      <c r="L98" s="471"/>
      <c r="M98" s="471"/>
      <c r="N98" s="471"/>
      <c r="O98" s="471"/>
      <c r="P98" s="471"/>
      <c r="Q98" s="450"/>
    </row>
    <row r="99" spans="1:17" ht="12.75" customHeight="1">
      <c r="A99" s="457"/>
      <c r="B99" s="528"/>
      <c r="C99" s="542"/>
      <c r="D99" s="531"/>
      <c r="E99" s="448"/>
      <c r="F99" s="531"/>
      <c r="G99" s="535"/>
      <c r="H99" s="538"/>
      <c r="I99" s="540"/>
      <c r="J99" s="540"/>
      <c r="K99" s="465"/>
      <c r="L99" s="472"/>
      <c r="M99" s="472"/>
      <c r="N99" s="472"/>
      <c r="O99" s="472"/>
      <c r="P99" s="472"/>
      <c r="Q99" s="448"/>
    </row>
    <row r="100" spans="1:17" ht="26.25" customHeight="1">
      <c r="A100" s="455" t="s">
        <v>102</v>
      </c>
      <c r="B100" s="458" t="s">
        <v>61</v>
      </c>
      <c r="C100" s="461" t="s">
        <v>161</v>
      </c>
      <c r="D100" s="172" t="s">
        <v>207</v>
      </c>
      <c r="E100" s="269">
        <f aca="true" t="shared" si="23" ref="E100:J100">E101</f>
        <v>549.8</v>
      </c>
      <c r="F100" s="269">
        <f t="shared" si="23"/>
        <v>549.8</v>
      </c>
      <c r="G100" s="269">
        <f t="shared" si="23"/>
        <v>0</v>
      </c>
      <c r="H100" s="269">
        <f t="shared" si="23"/>
        <v>0</v>
      </c>
      <c r="I100" s="269">
        <f t="shared" si="23"/>
        <v>0</v>
      </c>
      <c r="J100" s="269">
        <f t="shared" si="23"/>
        <v>0</v>
      </c>
      <c r="K100" s="464" t="s">
        <v>263</v>
      </c>
      <c r="L100" s="449" t="s">
        <v>236</v>
      </c>
      <c r="M100" s="449" t="s">
        <v>213</v>
      </c>
      <c r="N100" s="449" t="s">
        <v>213</v>
      </c>
      <c r="O100" s="449" t="s">
        <v>213</v>
      </c>
      <c r="P100" s="449" t="s">
        <v>213</v>
      </c>
      <c r="Q100" s="284"/>
    </row>
    <row r="101" spans="1:17" ht="62.25" customHeight="1">
      <c r="A101" s="456"/>
      <c r="B101" s="527"/>
      <c r="C101" s="462"/>
      <c r="D101" s="271" t="s">
        <v>6</v>
      </c>
      <c r="E101" s="276">
        <f aca="true" t="shared" si="24" ref="E101:E110">SUM(F101:J101)</f>
        <v>549.8</v>
      </c>
      <c r="F101" s="276">
        <f>449.8+100</f>
        <v>549.8</v>
      </c>
      <c r="G101" s="276">
        <v>0</v>
      </c>
      <c r="H101" s="276">
        <v>0</v>
      </c>
      <c r="I101" s="276">
        <v>0</v>
      </c>
      <c r="J101" s="276">
        <v>0</v>
      </c>
      <c r="K101" s="470"/>
      <c r="L101" s="471"/>
      <c r="M101" s="471"/>
      <c r="N101" s="471"/>
      <c r="O101" s="471"/>
      <c r="P101" s="471"/>
      <c r="Q101" s="283" t="s">
        <v>206</v>
      </c>
    </row>
    <row r="102" spans="1:17" ht="51" customHeight="1" hidden="1">
      <c r="A102" s="457"/>
      <c r="B102" s="528"/>
      <c r="C102" s="463"/>
      <c r="D102" s="271" t="s">
        <v>6</v>
      </c>
      <c r="E102" s="276">
        <v>0</v>
      </c>
      <c r="F102" s="276">
        <v>0</v>
      </c>
      <c r="G102" s="276">
        <v>0</v>
      </c>
      <c r="H102" s="276">
        <v>0</v>
      </c>
      <c r="I102" s="276">
        <v>0</v>
      </c>
      <c r="J102" s="276">
        <v>0</v>
      </c>
      <c r="K102" s="465"/>
      <c r="L102" s="472"/>
      <c r="M102" s="472"/>
      <c r="N102" s="472"/>
      <c r="O102" s="472"/>
      <c r="P102" s="472"/>
      <c r="Q102" s="283"/>
    </row>
    <row r="103" spans="1:17" ht="28.5" customHeight="1">
      <c r="A103" s="530" t="s">
        <v>104</v>
      </c>
      <c r="B103" s="530" t="s">
        <v>66</v>
      </c>
      <c r="C103" s="461" t="s">
        <v>161</v>
      </c>
      <c r="D103" s="172" t="s">
        <v>207</v>
      </c>
      <c r="E103" s="268">
        <f aca="true" t="shared" si="25" ref="E103:J103">E104</f>
        <v>280.59999999999997</v>
      </c>
      <c r="F103" s="268">
        <f t="shared" si="25"/>
        <v>45.9</v>
      </c>
      <c r="G103" s="268">
        <f t="shared" si="25"/>
        <v>44</v>
      </c>
      <c r="H103" s="268">
        <f t="shared" si="25"/>
        <v>63.3</v>
      </c>
      <c r="I103" s="268">
        <f t="shared" si="25"/>
        <v>63.7</v>
      </c>
      <c r="J103" s="268">
        <f t="shared" si="25"/>
        <v>63.7</v>
      </c>
      <c r="K103" s="464" t="s">
        <v>263</v>
      </c>
      <c r="L103" s="449" t="s">
        <v>236</v>
      </c>
      <c r="M103" s="449" t="s">
        <v>236</v>
      </c>
      <c r="N103" s="449" t="s">
        <v>236</v>
      </c>
      <c r="O103" s="449" t="s">
        <v>236</v>
      </c>
      <c r="P103" s="449" t="s">
        <v>236</v>
      </c>
      <c r="Q103" s="455" t="s">
        <v>205</v>
      </c>
    </row>
    <row r="104" spans="1:17" ht="48.75" customHeight="1">
      <c r="A104" s="528"/>
      <c r="B104" s="528"/>
      <c r="C104" s="462"/>
      <c r="D104" s="275" t="s">
        <v>6</v>
      </c>
      <c r="E104" s="278">
        <f t="shared" si="24"/>
        <v>280.59999999999997</v>
      </c>
      <c r="F104" s="278">
        <v>45.9</v>
      </c>
      <c r="G104" s="278">
        <f>44.5-0.5</f>
        <v>44</v>
      </c>
      <c r="H104" s="278">
        <f>44.5+18.8</f>
        <v>63.3</v>
      </c>
      <c r="I104" s="278">
        <f>44.5+19.2</f>
        <v>63.7</v>
      </c>
      <c r="J104" s="278">
        <f>44.5+19.2</f>
        <v>63.7</v>
      </c>
      <c r="K104" s="465"/>
      <c r="L104" s="448"/>
      <c r="M104" s="448"/>
      <c r="N104" s="448"/>
      <c r="O104" s="448"/>
      <c r="P104" s="448"/>
      <c r="Q104" s="529"/>
    </row>
    <row r="105" spans="1:17" ht="36.75" customHeight="1" hidden="1">
      <c r="A105" s="128"/>
      <c r="B105" s="127"/>
      <c r="C105" s="463"/>
      <c r="D105" s="275" t="s">
        <v>6</v>
      </c>
      <c r="E105" s="278">
        <f t="shared" si="24"/>
        <v>0</v>
      </c>
      <c r="F105" s="278">
        <v>0</v>
      </c>
      <c r="G105" s="278">
        <v>0</v>
      </c>
      <c r="H105" s="278">
        <v>0</v>
      </c>
      <c r="I105" s="278">
        <v>0</v>
      </c>
      <c r="J105" s="278">
        <v>0</v>
      </c>
      <c r="K105" s="105"/>
      <c r="L105" s="106"/>
      <c r="M105" s="106"/>
      <c r="N105" s="106"/>
      <c r="O105" s="106"/>
      <c r="P105" s="106"/>
      <c r="Q105" s="295"/>
    </row>
    <row r="106" spans="1:17" ht="22.5" customHeight="1">
      <c r="A106" s="455" t="s">
        <v>105</v>
      </c>
      <c r="B106" s="458" t="s">
        <v>62</v>
      </c>
      <c r="C106" s="461" t="s">
        <v>161</v>
      </c>
      <c r="D106" s="172" t="s">
        <v>207</v>
      </c>
      <c r="E106" s="270">
        <f aca="true" t="shared" si="26" ref="E106:J106">E107</f>
        <v>219457.00000000003</v>
      </c>
      <c r="F106" s="270">
        <f t="shared" si="26"/>
        <v>42323.1</v>
      </c>
      <c r="G106" s="270">
        <f t="shared" si="26"/>
        <v>45022.3</v>
      </c>
      <c r="H106" s="270">
        <f t="shared" si="26"/>
        <v>42230.200000000004</v>
      </c>
      <c r="I106" s="270">
        <f t="shared" si="26"/>
        <v>44940.700000000004</v>
      </c>
      <c r="J106" s="270">
        <f t="shared" si="26"/>
        <v>44940.700000000004</v>
      </c>
      <c r="K106" s="464" t="s">
        <v>263</v>
      </c>
      <c r="L106" s="449" t="s">
        <v>236</v>
      </c>
      <c r="M106" s="449" t="s">
        <v>236</v>
      </c>
      <c r="N106" s="449" t="s">
        <v>236</v>
      </c>
      <c r="O106" s="449" t="s">
        <v>236</v>
      </c>
      <c r="P106" s="449" t="s">
        <v>236</v>
      </c>
      <c r="Q106" s="295"/>
    </row>
    <row r="107" spans="1:17" ht="39" customHeight="1">
      <c r="A107" s="528"/>
      <c r="B107" s="528"/>
      <c r="C107" s="463"/>
      <c r="D107" s="275" t="s">
        <v>6</v>
      </c>
      <c r="E107" s="277">
        <f t="shared" si="24"/>
        <v>219457.00000000003</v>
      </c>
      <c r="F107" s="277">
        <v>42323.1</v>
      </c>
      <c r="G107" s="294">
        <f>45016+6.3</f>
        <v>45022.3</v>
      </c>
      <c r="H107" s="294">
        <f>42805.3-575.1</f>
        <v>42230.200000000004</v>
      </c>
      <c r="I107" s="294">
        <f>45338.3-397.6</f>
        <v>44940.700000000004</v>
      </c>
      <c r="J107" s="294">
        <f>45338.3-397.6</f>
        <v>44940.700000000004</v>
      </c>
      <c r="K107" s="465"/>
      <c r="L107" s="472"/>
      <c r="M107" s="472"/>
      <c r="N107" s="472"/>
      <c r="O107" s="472"/>
      <c r="P107" s="472"/>
      <c r="Q107" s="295" t="s">
        <v>99</v>
      </c>
    </row>
    <row r="108" spans="1:17" ht="26.25" customHeight="1">
      <c r="A108" s="455" t="s">
        <v>106</v>
      </c>
      <c r="B108" s="458" t="s">
        <v>65</v>
      </c>
      <c r="C108" s="461" t="s">
        <v>42</v>
      </c>
      <c r="D108" s="172" t="s">
        <v>207</v>
      </c>
      <c r="E108" s="270">
        <f aca="true" t="shared" si="27" ref="E108:J108">E109</f>
        <v>11226.900000000001</v>
      </c>
      <c r="F108" s="270">
        <f t="shared" si="27"/>
        <v>1837.8</v>
      </c>
      <c r="G108" s="270">
        <f t="shared" si="27"/>
        <v>1759.1999999999998</v>
      </c>
      <c r="H108" s="270">
        <f t="shared" si="27"/>
        <v>2531.3</v>
      </c>
      <c r="I108" s="270">
        <f t="shared" si="27"/>
        <v>2549.3</v>
      </c>
      <c r="J108" s="270">
        <f t="shared" si="27"/>
        <v>2549.3</v>
      </c>
      <c r="K108" s="464" t="s">
        <v>263</v>
      </c>
      <c r="L108" s="449" t="s">
        <v>236</v>
      </c>
      <c r="M108" s="449" t="s">
        <v>236</v>
      </c>
      <c r="N108" s="449" t="s">
        <v>236</v>
      </c>
      <c r="O108" s="449" t="s">
        <v>236</v>
      </c>
      <c r="P108" s="449" t="s">
        <v>236</v>
      </c>
      <c r="Q108" s="295"/>
    </row>
    <row r="109" spans="1:17" ht="44.25" customHeight="1">
      <c r="A109" s="527"/>
      <c r="B109" s="527"/>
      <c r="C109" s="462"/>
      <c r="D109" s="275" t="s">
        <v>6</v>
      </c>
      <c r="E109" s="278">
        <f t="shared" si="24"/>
        <v>11226.900000000001</v>
      </c>
      <c r="F109" s="278">
        <v>1837.8</v>
      </c>
      <c r="G109" s="306">
        <f>1780.1-20.9</f>
        <v>1759.1999999999998</v>
      </c>
      <c r="H109" s="306">
        <f>1780.1+751.2</f>
        <v>2531.3</v>
      </c>
      <c r="I109" s="306">
        <f>1780.1+769.2</f>
        <v>2549.3</v>
      </c>
      <c r="J109" s="306">
        <f>1780.1+769.2</f>
        <v>2549.3</v>
      </c>
      <c r="K109" s="470"/>
      <c r="L109" s="466"/>
      <c r="M109" s="466"/>
      <c r="N109" s="466"/>
      <c r="O109" s="466"/>
      <c r="P109" s="466"/>
      <c r="Q109" s="295" t="s">
        <v>160</v>
      </c>
    </row>
    <row r="110" spans="1:17" ht="34.5" customHeight="1" hidden="1">
      <c r="A110" s="528"/>
      <c r="B110" s="528"/>
      <c r="C110" s="463"/>
      <c r="D110" s="117" t="s">
        <v>6</v>
      </c>
      <c r="E110" s="118">
        <f t="shared" si="24"/>
        <v>0</v>
      </c>
      <c r="F110" s="118">
        <v>0</v>
      </c>
      <c r="G110" s="118">
        <v>0</v>
      </c>
      <c r="H110" s="118">
        <v>0</v>
      </c>
      <c r="I110" s="118">
        <v>0</v>
      </c>
      <c r="J110" s="118">
        <v>0</v>
      </c>
      <c r="K110" s="465"/>
      <c r="L110" s="467"/>
      <c r="M110" s="467"/>
      <c r="N110" s="467"/>
      <c r="O110" s="467"/>
      <c r="P110" s="467"/>
      <c r="Q110" s="295"/>
    </row>
    <row r="111" spans="1:17" ht="30" customHeight="1">
      <c r="A111" s="455" t="s">
        <v>107</v>
      </c>
      <c r="B111" s="458" t="s">
        <v>59</v>
      </c>
      <c r="C111" s="461" t="s">
        <v>161</v>
      </c>
      <c r="D111" s="524" t="s">
        <v>216</v>
      </c>
      <c r="E111" s="515">
        <f aca="true" t="shared" si="28" ref="E111:J111">SUM(E118:E120)</f>
        <v>357710.1</v>
      </c>
      <c r="F111" s="515">
        <f t="shared" si="28"/>
        <v>70964.8</v>
      </c>
      <c r="G111" s="515">
        <f t="shared" si="28"/>
        <v>70737.59999999999</v>
      </c>
      <c r="H111" s="515">
        <f t="shared" si="28"/>
        <v>66929.1</v>
      </c>
      <c r="I111" s="515">
        <f t="shared" si="28"/>
        <v>74539.29999999999</v>
      </c>
      <c r="J111" s="515">
        <f t="shared" si="28"/>
        <v>74539.29999999999</v>
      </c>
      <c r="K111" s="464" t="s">
        <v>50</v>
      </c>
      <c r="L111" s="449" t="s">
        <v>266</v>
      </c>
      <c r="M111" s="449" t="s">
        <v>266</v>
      </c>
      <c r="N111" s="449" t="s">
        <v>266</v>
      </c>
      <c r="O111" s="449" t="s">
        <v>266</v>
      </c>
      <c r="P111" s="449" t="s">
        <v>266</v>
      </c>
      <c r="Q111" s="455" t="s">
        <v>51</v>
      </c>
    </row>
    <row r="112" spans="1:17" ht="5.25" customHeight="1">
      <c r="A112" s="475"/>
      <c r="B112" s="476"/>
      <c r="C112" s="477"/>
      <c r="D112" s="525"/>
      <c r="E112" s="516"/>
      <c r="F112" s="516"/>
      <c r="G112" s="516"/>
      <c r="H112" s="516"/>
      <c r="I112" s="516"/>
      <c r="J112" s="516"/>
      <c r="K112" s="474"/>
      <c r="L112" s="471"/>
      <c r="M112" s="471"/>
      <c r="N112" s="471"/>
      <c r="O112" s="471"/>
      <c r="P112" s="471"/>
      <c r="Q112" s="475"/>
    </row>
    <row r="113" spans="1:17" ht="15" customHeight="1">
      <c r="A113" s="475"/>
      <c r="B113" s="476"/>
      <c r="C113" s="477"/>
      <c r="D113" s="525"/>
      <c r="E113" s="516"/>
      <c r="F113" s="516"/>
      <c r="G113" s="516"/>
      <c r="H113" s="516"/>
      <c r="I113" s="516"/>
      <c r="J113" s="516"/>
      <c r="K113" s="474"/>
      <c r="L113" s="471"/>
      <c r="M113" s="471"/>
      <c r="N113" s="471"/>
      <c r="O113" s="471"/>
      <c r="P113" s="471"/>
      <c r="Q113" s="475"/>
    </row>
    <row r="114" spans="1:17" ht="4.5" customHeight="1">
      <c r="A114" s="475"/>
      <c r="B114" s="476"/>
      <c r="C114" s="477"/>
      <c r="D114" s="526"/>
      <c r="E114" s="523"/>
      <c r="F114" s="523"/>
      <c r="G114" s="523"/>
      <c r="H114" s="523"/>
      <c r="I114" s="523"/>
      <c r="J114" s="523"/>
      <c r="K114" s="474"/>
      <c r="L114" s="471"/>
      <c r="M114" s="471"/>
      <c r="N114" s="471"/>
      <c r="O114" s="471"/>
      <c r="P114" s="471"/>
      <c r="Q114" s="475"/>
    </row>
    <row r="115" spans="1:17" ht="15" customHeight="1">
      <c r="A115" s="456"/>
      <c r="B115" s="459"/>
      <c r="C115" s="462"/>
      <c r="D115" s="275" t="s">
        <v>5</v>
      </c>
      <c r="E115" s="278">
        <f aca="true" t="shared" si="29" ref="E115:J115">E117</f>
        <v>48435.8</v>
      </c>
      <c r="F115" s="278">
        <f t="shared" si="29"/>
        <v>11383.4</v>
      </c>
      <c r="G115" s="278">
        <f t="shared" si="29"/>
        <v>12616.800000000001</v>
      </c>
      <c r="H115" s="278">
        <f t="shared" si="29"/>
        <v>7145.2</v>
      </c>
      <c r="I115" s="278">
        <f t="shared" si="29"/>
        <v>8645.2</v>
      </c>
      <c r="J115" s="278">
        <f t="shared" si="29"/>
        <v>8645.2</v>
      </c>
      <c r="K115" s="470"/>
      <c r="L115" s="466"/>
      <c r="M115" s="466"/>
      <c r="N115" s="466"/>
      <c r="O115" s="466"/>
      <c r="P115" s="466"/>
      <c r="Q115" s="456"/>
    </row>
    <row r="116" spans="1:17" ht="15" customHeight="1">
      <c r="A116" s="457"/>
      <c r="B116" s="460"/>
      <c r="C116" s="463"/>
      <c r="D116" s="275" t="s">
        <v>6</v>
      </c>
      <c r="E116" s="278">
        <f aca="true" t="shared" si="30" ref="E116:J116">E120</f>
        <v>309274.3</v>
      </c>
      <c r="F116" s="278">
        <f t="shared" si="30"/>
        <v>59581.4</v>
      </c>
      <c r="G116" s="278">
        <f t="shared" si="30"/>
        <v>58120.799999999996</v>
      </c>
      <c r="H116" s="278">
        <f t="shared" si="30"/>
        <v>59783.9</v>
      </c>
      <c r="I116" s="278">
        <f t="shared" si="30"/>
        <v>65894.09999999999</v>
      </c>
      <c r="J116" s="278">
        <f t="shared" si="30"/>
        <v>65894.09999999999</v>
      </c>
      <c r="K116" s="465"/>
      <c r="L116" s="467"/>
      <c r="M116" s="467"/>
      <c r="N116" s="467"/>
      <c r="O116" s="467"/>
      <c r="P116" s="467"/>
      <c r="Q116" s="457"/>
    </row>
    <row r="117" spans="1:17" ht="21" customHeight="1">
      <c r="A117" s="455" t="s">
        <v>96</v>
      </c>
      <c r="B117" s="458" t="s">
        <v>110</v>
      </c>
      <c r="C117" s="461" t="s">
        <v>161</v>
      </c>
      <c r="D117" s="172" t="s">
        <v>222</v>
      </c>
      <c r="E117" s="268">
        <f aca="true" t="shared" si="31" ref="E117:J117">E118</f>
        <v>48435.8</v>
      </c>
      <c r="F117" s="268">
        <f t="shared" si="31"/>
        <v>11383.4</v>
      </c>
      <c r="G117" s="268">
        <f t="shared" si="31"/>
        <v>12616.800000000001</v>
      </c>
      <c r="H117" s="268">
        <f t="shared" si="31"/>
        <v>7145.2</v>
      </c>
      <c r="I117" s="268">
        <f t="shared" si="31"/>
        <v>8645.2</v>
      </c>
      <c r="J117" s="268">
        <f t="shared" si="31"/>
        <v>8645.2</v>
      </c>
      <c r="K117" s="464" t="s">
        <v>267</v>
      </c>
      <c r="L117" s="449" t="s">
        <v>236</v>
      </c>
      <c r="M117" s="449" t="s">
        <v>236</v>
      </c>
      <c r="N117" s="449" t="s">
        <v>236</v>
      </c>
      <c r="O117" s="449" t="s">
        <v>236</v>
      </c>
      <c r="P117" s="449" t="s">
        <v>236</v>
      </c>
      <c r="Q117" s="449" t="s">
        <v>51</v>
      </c>
    </row>
    <row r="118" spans="1:17" ht="14.25" customHeight="1">
      <c r="A118" s="456"/>
      <c r="B118" s="459"/>
      <c r="C118" s="462"/>
      <c r="D118" s="451" t="s">
        <v>5</v>
      </c>
      <c r="E118" s="453">
        <f>SUM(F118:J119)</f>
        <v>48435.8</v>
      </c>
      <c r="F118" s="453">
        <v>11383.4</v>
      </c>
      <c r="G118" s="499">
        <f>8645.2+80+3833.6-58+116</f>
        <v>12616.800000000001</v>
      </c>
      <c r="H118" s="453">
        <v>7145.2</v>
      </c>
      <c r="I118" s="453">
        <v>8645.2</v>
      </c>
      <c r="J118" s="453">
        <v>8645.2</v>
      </c>
      <c r="K118" s="470"/>
      <c r="L118" s="466"/>
      <c r="M118" s="466"/>
      <c r="N118" s="466"/>
      <c r="O118" s="466"/>
      <c r="P118" s="466"/>
      <c r="Q118" s="450"/>
    </row>
    <row r="119" spans="1:17" ht="14.25" customHeight="1">
      <c r="A119" s="457"/>
      <c r="B119" s="460"/>
      <c r="C119" s="463"/>
      <c r="D119" s="468"/>
      <c r="E119" s="469"/>
      <c r="F119" s="469"/>
      <c r="G119" s="512"/>
      <c r="H119" s="469"/>
      <c r="I119" s="469"/>
      <c r="J119" s="469"/>
      <c r="K119" s="465"/>
      <c r="L119" s="467"/>
      <c r="M119" s="467"/>
      <c r="N119" s="467"/>
      <c r="O119" s="467"/>
      <c r="P119" s="467"/>
      <c r="Q119" s="448"/>
    </row>
    <row r="120" spans="1:17" ht="24" customHeight="1">
      <c r="A120" s="455" t="s">
        <v>97</v>
      </c>
      <c r="B120" s="458" t="s">
        <v>108</v>
      </c>
      <c r="C120" s="461" t="s">
        <v>161</v>
      </c>
      <c r="D120" s="172" t="s">
        <v>265</v>
      </c>
      <c r="E120" s="61">
        <f>SUM(F120:J120)</f>
        <v>309274.3</v>
      </c>
      <c r="F120" s="61">
        <f>SUM(F122:F126)</f>
        <v>59581.4</v>
      </c>
      <c r="G120" s="61">
        <f>SUM(G122:G126)</f>
        <v>58120.799999999996</v>
      </c>
      <c r="H120" s="61">
        <f>SUM(H122:H126)</f>
        <v>59783.9</v>
      </c>
      <c r="I120" s="61">
        <f>SUM(I122:I126)</f>
        <v>65894.09999999999</v>
      </c>
      <c r="J120" s="61">
        <f>SUM(J122:J126)</f>
        <v>65894.09999999999</v>
      </c>
      <c r="K120" s="513"/>
      <c r="L120" s="522"/>
      <c r="M120" s="522"/>
      <c r="N120" s="522"/>
      <c r="O120" s="522"/>
      <c r="P120" s="522"/>
      <c r="Q120" s="449"/>
    </row>
    <row r="121" spans="1:17" ht="24" customHeight="1">
      <c r="A121" s="457"/>
      <c r="B121" s="460"/>
      <c r="C121" s="463"/>
      <c r="D121" s="271" t="s">
        <v>6</v>
      </c>
      <c r="E121" s="331">
        <f aca="true" t="shared" si="32" ref="E121:J121">SUM(E122:E126)</f>
        <v>309274.3</v>
      </c>
      <c r="F121" s="331">
        <f t="shared" si="32"/>
        <v>59581.4</v>
      </c>
      <c r="G121" s="331">
        <f t="shared" si="32"/>
        <v>58120.799999999996</v>
      </c>
      <c r="H121" s="331">
        <f t="shared" si="32"/>
        <v>59783.9</v>
      </c>
      <c r="I121" s="331">
        <f t="shared" si="32"/>
        <v>65894.09999999999</v>
      </c>
      <c r="J121" s="331">
        <f t="shared" si="32"/>
        <v>65894.09999999999</v>
      </c>
      <c r="K121" s="521"/>
      <c r="L121" s="510"/>
      <c r="M121" s="510"/>
      <c r="N121" s="510"/>
      <c r="O121" s="510"/>
      <c r="P121" s="510"/>
      <c r="Q121" s="448"/>
    </row>
    <row r="122" spans="1:17" ht="26.25" customHeight="1">
      <c r="A122" s="455" t="s">
        <v>112</v>
      </c>
      <c r="B122" s="458" t="s">
        <v>62</v>
      </c>
      <c r="C122" s="433" t="s">
        <v>161</v>
      </c>
      <c r="D122" s="451" t="s">
        <v>6</v>
      </c>
      <c r="E122" s="490">
        <f>SUM(F122:J123)</f>
        <v>307975.1</v>
      </c>
      <c r="F122" s="490">
        <f>62197.9-3100.2</f>
        <v>59097.700000000004</v>
      </c>
      <c r="G122" s="497">
        <f>60023.4-3252.3+1134.2</f>
        <v>57905.299999999996</v>
      </c>
      <c r="H122" s="497">
        <f>61960.9-2377</f>
        <v>59583.9</v>
      </c>
      <c r="I122" s="497">
        <f>66483.2-789.1</f>
        <v>65694.09999999999</v>
      </c>
      <c r="J122" s="497">
        <f>66483.2-789.1</f>
        <v>65694.09999999999</v>
      </c>
      <c r="K122" s="513" t="s">
        <v>263</v>
      </c>
      <c r="L122" s="509" t="s">
        <v>236</v>
      </c>
      <c r="M122" s="509" t="s">
        <v>236</v>
      </c>
      <c r="N122" s="509" t="s">
        <v>236</v>
      </c>
      <c r="O122" s="509" t="s">
        <v>236</v>
      </c>
      <c r="P122" s="509" t="s">
        <v>236</v>
      </c>
      <c r="Q122" s="449" t="s">
        <v>51</v>
      </c>
    </row>
    <row r="123" spans="1:17" ht="21" customHeight="1">
      <c r="A123" s="475"/>
      <c r="B123" s="476"/>
      <c r="C123" s="433"/>
      <c r="D123" s="452"/>
      <c r="E123" s="490"/>
      <c r="F123" s="490"/>
      <c r="G123" s="497"/>
      <c r="H123" s="497"/>
      <c r="I123" s="497"/>
      <c r="J123" s="497"/>
      <c r="K123" s="521"/>
      <c r="L123" s="520"/>
      <c r="M123" s="520"/>
      <c r="N123" s="520"/>
      <c r="O123" s="520"/>
      <c r="P123" s="520"/>
      <c r="Q123" s="471"/>
    </row>
    <row r="124" spans="1:17" ht="24.75" customHeight="1">
      <c r="A124" s="502" t="s">
        <v>111</v>
      </c>
      <c r="B124" s="503" t="s">
        <v>61</v>
      </c>
      <c r="C124" s="433" t="s">
        <v>161</v>
      </c>
      <c r="D124" s="451" t="s">
        <v>6</v>
      </c>
      <c r="E124" s="490">
        <f>SUM(F124:J125)</f>
        <v>483.7</v>
      </c>
      <c r="F124" s="490">
        <v>483.7</v>
      </c>
      <c r="G124" s="490">
        <v>0</v>
      </c>
      <c r="H124" s="490">
        <v>0</v>
      </c>
      <c r="I124" s="490">
        <v>0</v>
      </c>
      <c r="J124" s="490">
        <v>0</v>
      </c>
      <c r="K124" s="513" t="s">
        <v>263</v>
      </c>
      <c r="L124" s="509" t="s">
        <v>236</v>
      </c>
      <c r="M124" s="509" t="s">
        <v>213</v>
      </c>
      <c r="N124" s="509" t="s">
        <v>213</v>
      </c>
      <c r="O124" s="509" t="s">
        <v>213</v>
      </c>
      <c r="P124" s="509" t="s">
        <v>213</v>
      </c>
      <c r="Q124" s="509" t="s">
        <v>51</v>
      </c>
    </row>
    <row r="125" spans="1:17" ht="68.25" customHeight="1">
      <c r="A125" s="502"/>
      <c r="B125" s="503"/>
      <c r="C125" s="433"/>
      <c r="D125" s="468"/>
      <c r="E125" s="511"/>
      <c r="F125" s="511"/>
      <c r="G125" s="511"/>
      <c r="H125" s="511"/>
      <c r="I125" s="511"/>
      <c r="J125" s="511"/>
      <c r="K125" s="521"/>
      <c r="L125" s="520"/>
      <c r="M125" s="520"/>
      <c r="N125" s="520"/>
      <c r="O125" s="520"/>
      <c r="P125" s="520"/>
      <c r="Q125" s="509"/>
    </row>
    <row r="126" spans="1:17" ht="78.75" customHeight="1">
      <c r="A126" s="295" t="s">
        <v>271</v>
      </c>
      <c r="B126" s="298" t="s">
        <v>67</v>
      </c>
      <c r="C126" s="305" t="s">
        <v>272</v>
      </c>
      <c r="D126" s="285" t="s">
        <v>6</v>
      </c>
      <c r="E126" s="281">
        <f>F126+G126+H126+I126+J126</f>
        <v>815.5</v>
      </c>
      <c r="F126" s="281">
        <v>0</v>
      </c>
      <c r="G126" s="281">
        <v>215.5</v>
      </c>
      <c r="H126" s="281">
        <v>200</v>
      </c>
      <c r="I126" s="281">
        <v>200</v>
      </c>
      <c r="J126" s="281">
        <v>200</v>
      </c>
      <c r="K126" s="301" t="s">
        <v>264</v>
      </c>
      <c r="L126" s="280" t="s">
        <v>213</v>
      </c>
      <c r="M126" s="280" t="s">
        <v>236</v>
      </c>
      <c r="N126" s="280" t="s">
        <v>236</v>
      </c>
      <c r="O126" s="280" t="s">
        <v>236</v>
      </c>
      <c r="P126" s="280" t="s">
        <v>236</v>
      </c>
      <c r="Q126" s="274" t="s">
        <v>51</v>
      </c>
    </row>
    <row r="127" spans="1:17" ht="24" customHeight="1">
      <c r="A127" s="455" t="s">
        <v>113</v>
      </c>
      <c r="B127" s="458" t="s">
        <v>60</v>
      </c>
      <c r="C127" s="461" t="s">
        <v>161</v>
      </c>
      <c r="D127" s="478" t="s">
        <v>249</v>
      </c>
      <c r="E127" s="518">
        <f>SUM(F127:J129)</f>
        <v>56787.09999999999</v>
      </c>
      <c r="F127" s="515">
        <f>F130+F131</f>
        <v>13374.299999999997</v>
      </c>
      <c r="G127" s="515">
        <f>G130+G131</f>
        <v>12124.699999999999</v>
      </c>
      <c r="H127" s="515">
        <f>H130+H131</f>
        <v>9357.9</v>
      </c>
      <c r="I127" s="515">
        <f>I130+I131</f>
        <v>10965.099999999999</v>
      </c>
      <c r="J127" s="515">
        <f>J130+J131</f>
        <v>10965.099999999999</v>
      </c>
      <c r="K127" s="458" t="s">
        <v>268</v>
      </c>
      <c r="L127" s="506" t="s">
        <v>269</v>
      </c>
      <c r="M127" s="506" t="s">
        <v>269</v>
      </c>
      <c r="N127" s="506" t="s">
        <v>270</v>
      </c>
      <c r="O127" s="506" t="s">
        <v>270</v>
      </c>
      <c r="P127" s="506" t="s">
        <v>270</v>
      </c>
      <c r="Q127" s="455"/>
    </row>
    <row r="128" spans="1:17" ht="12" customHeight="1">
      <c r="A128" s="475"/>
      <c r="B128" s="476"/>
      <c r="C128" s="477"/>
      <c r="D128" s="517"/>
      <c r="E128" s="519"/>
      <c r="F128" s="516"/>
      <c r="G128" s="516"/>
      <c r="H128" s="516"/>
      <c r="I128" s="516"/>
      <c r="J128" s="516"/>
      <c r="K128" s="476"/>
      <c r="L128" s="507"/>
      <c r="M128" s="507"/>
      <c r="N128" s="507"/>
      <c r="O128" s="507"/>
      <c r="P128" s="507"/>
      <c r="Q128" s="475"/>
    </row>
    <row r="129" spans="1:17" ht="9.75" customHeight="1">
      <c r="A129" s="475"/>
      <c r="B129" s="476"/>
      <c r="C129" s="477"/>
      <c r="D129" s="479"/>
      <c r="E129" s="519"/>
      <c r="F129" s="516"/>
      <c r="G129" s="516"/>
      <c r="H129" s="516"/>
      <c r="I129" s="516"/>
      <c r="J129" s="516"/>
      <c r="K129" s="476"/>
      <c r="L129" s="507"/>
      <c r="M129" s="507"/>
      <c r="N129" s="507"/>
      <c r="O129" s="507"/>
      <c r="P129" s="507"/>
      <c r="Q129" s="475"/>
    </row>
    <row r="130" spans="1:17" ht="12.75" customHeight="1">
      <c r="A130" s="456"/>
      <c r="B130" s="459"/>
      <c r="C130" s="462"/>
      <c r="D130" s="275" t="s">
        <v>5</v>
      </c>
      <c r="E130" s="272">
        <f aca="true" t="shared" si="33" ref="E130:J130">E133</f>
        <v>49574.59999999999</v>
      </c>
      <c r="F130" s="272">
        <f t="shared" si="33"/>
        <v>11842.399999999998</v>
      </c>
      <c r="G130" s="272">
        <f t="shared" si="33"/>
        <v>10576.8</v>
      </c>
      <c r="H130" s="272">
        <f t="shared" si="33"/>
        <v>8051.8</v>
      </c>
      <c r="I130" s="272">
        <f t="shared" si="33"/>
        <v>9551.8</v>
      </c>
      <c r="J130" s="272">
        <f t="shared" si="33"/>
        <v>9551.8</v>
      </c>
      <c r="K130" s="459"/>
      <c r="L130" s="507"/>
      <c r="M130" s="507"/>
      <c r="N130" s="507"/>
      <c r="O130" s="507"/>
      <c r="P130" s="507"/>
      <c r="Q130" s="456"/>
    </row>
    <row r="131" spans="1:17" ht="12.75" customHeight="1">
      <c r="A131" s="457"/>
      <c r="B131" s="460"/>
      <c r="C131" s="463"/>
      <c r="D131" s="275" t="s">
        <v>6</v>
      </c>
      <c r="E131" s="272">
        <f aca="true" t="shared" si="34" ref="E131:J131">E136</f>
        <v>7212.5</v>
      </c>
      <c r="F131" s="272">
        <f t="shared" si="34"/>
        <v>1531.9</v>
      </c>
      <c r="G131" s="272">
        <f t="shared" si="34"/>
        <v>1547.9</v>
      </c>
      <c r="H131" s="272">
        <f t="shared" si="34"/>
        <v>1306.1</v>
      </c>
      <c r="I131" s="272">
        <f t="shared" si="34"/>
        <v>1413.3</v>
      </c>
      <c r="J131" s="272">
        <f t="shared" si="34"/>
        <v>1413.3</v>
      </c>
      <c r="K131" s="460"/>
      <c r="L131" s="508"/>
      <c r="M131" s="508"/>
      <c r="N131" s="508"/>
      <c r="O131" s="508"/>
      <c r="P131" s="508"/>
      <c r="Q131" s="457"/>
    </row>
    <row r="132" spans="1:17" ht="24" customHeight="1">
      <c r="A132" s="455" t="s">
        <v>98</v>
      </c>
      <c r="B132" s="458" t="s">
        <v>114</v>
      </c>
      <c r="C132" s="461" t="s">
        <v>161</v>
      </c>
      <c r="D132" s="172" t="s">
        <v>265</v>
      </c>
      <c r="E132" s="282">
        <f aca="true" t="shared" si="35" ref="E132:J132">E133</f>
        <v>49574.59999999999</v>
      </c>
      <c r="F132" s="282">
        <f t="shared" si="35"/>
        <v>11842.399999999998</v>
      </c>
      <c r="G132" s="282">
        <f t="shared" si="35"/>
        <v>10576.8</v>
      </c>
      <c r="H132" s="282">
        <f t="shared" si="35"/>
        <v>8051.8</v>
      </c>
      <c r="I132" s="282">
        <f t="shared" si="35"/>
        <v>9551.8</v>
      </c>
      <c r="J132" s="282">
        <f t="shared" si="35"/>
        <v>9551.8</v>
      </c>
      <c r="K132" s="513" t="s">
        <v>267</v>
      </c>
      <c r="L132" s="506" t="s">
        <v>236</v>
      </c>
      <c r="M132" s="506" t="s">
        <v>236</v>
      </c>
      <c r="N132" s="506" t="s">
        <v>236</v>
      </c>
      <c r="O132" s="506" t="s">
        <v>236</v>
      </c>
      <c r="P132" s="506" t="s">
        <v>236</v>
      </c>
      <c r="Q132" s="509" t="s">
        <v>142</v>
      </c>
    </row>
    <row r="133" spans="1:17" ht="9" customHeight="1">
      <c r="A133" s="456"/>
      <c r="B133" s="459"/>
      <c r="C133" s="462"/>
      <c r="D133" s="451" t="s">
        <v>5</v>
      </c>
      <c r="E133" s="490">
        <f>SUM(F133:J134)</f>
        <v>49574.59999999999</v>
      </c>
      <c r="F133" s="453">
        <f>10904.3-89.1-29.7+1056.9</f>
        <v>11842.399999999998</v>
      </c>
      <c r="G133" s="499">
        <f>9551.8+1105-80</f>
        <v>10576.8</v>
      </c>
      <c r="H133" s="453">
        <v>8051.8</v>
      </c>
      <c r="I133" s="453">
        <v>9551.8</v>
      </c>
      <c r="J133" s="453">
        <v>9551.8</v>
      </c>
      <c r="K133" s="514"/>
      <c r="L133" s="507"/>
      <c r="M133" s="507"/>
      <c r="N133" s="507"/>
      <c r="O133" s="507"/>
      <c r="P133" s="507"/>
      <c r="Q133" s="510"/>
    </row>
    <row r="134" spans="1:17" ht="5.25" customHeight="1">
      <c r="A134" s="457"/>
      <c r="B134" s="460"/>
      <c r="C134" s="463"/>
      <c r="D134" s="468"/>
      <c r="E134" s="511"/>
      <c r="F134" s="469"/>
      <c r="G134" s="512"/>
      <c r="H134" s="469"/>
      <c r="I134" s="469"/>
      <c r="J134" s="469"/>
      <c r="K134" s="514"/>
      <c r="L134" s="508"/>
      <c r="M134" s="508"/>
      <c r="N134" s="508"/>
      <c r="O134" s="508"/>
      <c r="P134" s="508"/>
      <c r="Q134" s="510"/>
    </row>
    <row r="135" spans="1:17" ht="25.5" customHeight="1">
      <c r="A135" s="502" t="s">
        <v>115</v>
      </c>
      <c r="B135" s="503" t="s">
        <v>67</v>
      </c>
      <c r="C135" s="461" t="s">
        <v>161</v>
      </c>
      <c r="D135" s="172" t="s">
        <v>265</v>
      </c>
      <c r="E135" s="297">
        <f aca="true" t="shared" si="36" ref="E135:J135">E136</f>
        <v>7212.5</v>
      </c>
      <c r="F135" s="297">
        <f t="shared" si="36"/>
        <v>1531.9</v>
      </c>
      <c r="G135" s="297">
        <f t="shared" si="36"/>
        <v>1547.9</v>
      </c>
      <c r="H135" s="297">
        <f t="shared" si="36"/>
        <v>1306.1</v>
      </c>
      <c r="I135" s="297">
        <f t="shared" si="36"/>
        <v>1413.3</v>
      </c>
      <c r="J135" s="297">
        <f t="shared" si="36"/>
        <v>1413.3</v>
      </c>
      <c r="K135" s="464" t="s">
        <v>264</v>
      </c>
      <c r="L135" s="449" t="s">
        <v>236</v>
      </c>
      <c r="M135" s="449" t="s">
        <v>236</v>
      </c>
      <c r="N135" s="449" t="s">
        <v>236</v>
      </c>
      <c r="O135" s="449" t="s">
        <v>236</v>
      </c>
      <c r="P135" s="449" t="s">
        <v>236</v>
      </c>
      <c r="Q135" s="449" t="s">
        <v>142</v>
      </c>
    </row>
    <row r="136" spans="1:17" ht="16.5" customHeight="1">
      <c r="A136" s="487"/>
      <c r="B136" s="504"/>
      <c r="C136" s="462"/>
      <c r="D136" s="451" t="s">
        <v>6</v>
      </c>
      <c r="E136" s="489">
        <f>SUM(F136:J139)</f>
        <v>7212.5</v>
      </c>
      <c r="F136" s="489">
        <v>1531.9</v>
      </c>
      <c r="G136" s="489">
        <v>1547.9</v>
      </c>
      <c r="H136" s="498">
        <f>1606.1-300</f>
        <v>1306.1</v>
      </c>
      <c r="I136" s="498">
        <f>1706.1-292.8</f>
        <v>1413.3</v>
      </c>
      <c r="J136" s="498">
        <f>1706.1-292.8</f>
        <v>1413.3</v>
      </c>
      <c r="K136" s="470"/>
      <c r="L136" s="500"/>
      <c r="M136" s="500"/>
      <c r="N136" s="500"/>
      <c r="O136" s="500"/>
      <c r="P136" s="500"/>
      <c r="Q136" s="450"/>
    </row>
    <row r="137" spans="1:17" ht="11.25" customHeight="1">
      <c r="A137" s="487"/>
      <c r="B137" s="504"/>
      <c r="C137" s="462"/>
      <c r="D137" s="505"/>
      <c r="E137" s="489"/>
      <c r="F137" s="489"/>
      <c r="G137" s="489"/>
      <c r="H137" s="498"/>
      <c r="I137" s="498"/>
      <c r="J137" s="498"/>
      <c r="K137" s="470"/>
      <c r="L137" s="500"/>
      <c r="M137" s="500"/>
      <c r="N137" s="500"/>
      <c r="O137" s="500"/>
      <c r="P137" s="500"/>
      <c r="Q137" s="450"/>
    </row>
    <row r="138" spans="1:17" ht="27.75" customHeight="1" thickBot="1">
      <c r="A138" s="487"/>
      <c r="B138" s="504"/>
      <c r="C138" s="462"/>
      <c r="D138" s="505"/>
      <c r="E138" s="489"/>
      <c r="F138" s="489"/>
      <c r="G138" s="489"/>
      <c r="H138" s="498"/>
      <c r="I138" s="498"/>
      <c r="J138" s="498"/>
      <c r="K138" s="470"/>
      <c r="L138" s="500"/>
      <c r="M138" s="500"/>
      <c r="N138" s="500"/>
      <c r="O138" s="500"/>
      <c r="P138" s="500"/>
      <c r="Q138" s="450"/>
    </row>
    <row r="139" spans="1:17" ht="12.75" customHeight="1" hidden="1">
      <c r="A139" s="487"/>
      <c r="B139" s="504"/>
      <c r="C139" s="462"/>
      <c r="D139" s="505"/>
      <c r="E139" s="453"/>
      <c r="F139" s="453"/>
      <c r="G139" s="453"/>
      <c r="H139" s="499"/>
      <c r="I139" s="499"/>
      <c r="J139" s="499"/>
      <c r="K139" s="465"/>
      <c r="L139" s="501"/>
      <c r="M139" s="501"/>
      <c r="N139" s="501"/>
      <c r="O139" s="501"/>
      <c r="P139" s="501"/>
      <c r="Q139" s="448"/>
    </row>
    <row r="140" spans="1:17" ht="12" customHeight="1">
      <c r="A140" s="426"/>
      <c r="B140" s="444" t="s">
        <v>49</v>
      </c>
      <c r="C140" s="433"/>
      <c r="D140" s="64" t="s">
        <v>11</v>
      </c>
      <c r="E140" s="427">
        <f aca="true" t="shared" si="37" ref="E140:J140">SUM(E142:E143)</f>
        <v>778213.6</v>
      </c>
      <c r="F140" s="437">
        <f t="shared" si="37"/>
        <v>159427.1</v>
      </c>
      <c r="G140" s="427">
        <f t="shared" si="37"/>
        <v>158005.8</v>
      </c>
      <c r="H140" s="427">
        <f t="shared" si="37"/>
        <v>143553.90000000002</v>
      </c>
      <c r="I140" s="427">
        <f t="shared" si="37"/>
        <v>158613.4</v>
      </c>
      <c r="J140" s="429">
        <f t="shared" si="37"/>
        <v>158613.4</v>
      </c>
      <c r="K140" s="431"/>
      <c r="L140" s="432"/>
      <c r="M140" s="432"/>
      <c r="N140" s="432"/>
      <c r="O140" s="432"/>
      <c r="P140" s="432"/>
      <c r="Q140" s="426"/>
    </row>
    <row r="141" spans="1:17" ht="12" customHeight="1">
      <c r="A141" s="426"/>
      <c r="B141" s="444"/>
      <c r="C141" s="433"/>
      <c r="D141" s="65" t="s">
        <v>12</v>
      </c>
      <c r="E141" s="428"/>
      <c r="F141" s="438"/>
      <c r="G141" s="428"/>
      <c r="H141" s="428"/>
      <c r="I141" s="428"/>
      <c r="J141" s="430"/>
      <c r="K141" s="431"/>
      <c r="L141" s="425"/>
      <c r="M141" s="425"/>
      <c r="N141" s="425"/>
      <c r="O141" s="425"/>
      <c r="P141" s="425"/>
      <c r="Q141" s="426"/>
    </row>
    <row r="142" spans="1:17" ht="12" customHeight="1">
      <c r="A142" s="426"/>
      <c r="B142" s="444"/>
      <c r="C142" s="433"/>
      <c r="D142" s="66" t="s">
        <v>5</v>
      </c>
      <c r="E142" s="342">
        <f>SUM(F142:J142)</f>
        <v>221562.1</v>
      </c>
      <c r="F142" s="336">
        <f>SUM(F133,F118,F91)</f>
        <v>51717.2</v>
      </c>
      <c r="G142" s="342">
        <f>SUM(G133,G118,G91)</f>
        <v>49577.6</v>
      </c>
      <c r="H142" s="336">
        <f>SUM(H133,H118,H91)</f>
        <v>36089.1</v>
      </c>
      <c r="I142" s="336">
        <f>SUM(I133,I118,I91)</f>
        <v>42089.1</v>
      </c>
      <c r="J142" s="71">
        <f>SUM(J133,J118,J91)</f>
        <v>42089.1</v>
      </c>
      <c r="K142" s="431"/>
      <c r="L142" s="425"/>
      <c r="M142" s="425"/>
      <c r="N142" s="425"/>
      <c r="O142" s="425"/>
      <c r="P142" s="425"/>
      <c r="Q142" s="426"/>
    </row>
    <row r="143" spans="1:17" ht="12" customHeight="1" thickBot="1">
      <c r="A143" s="426"/>
      <c r="B143" s="444"/>
      <c r="C143" s="433"/>
      <c r="D143" s="67" t="s">
        <v>6</v>
      </c>
      <c r="E143" s="389">
        <f>SUM(F143:J143)</f>
        <v>556651.5</v>
      </c>
      <c r="F143" s="72">
        <f>SUM(F136,F124,F122,F109,F107,F104,F101,F98,F96)</f>
        <v>107709.90000000001</v>
      </c>
      <c r="G143" s="389">
        <f>G116+G131+G89</f>
        <v>108428.2</v>
      </c>
      <c r="H143" s="389">
        <f>H116+H131+H89</f>
        <v>107464.80000000002</v>
      </c>
      <c r="I143" s="389">
        <f>I116+I131+I89</f>
        <v>116524.3</v>
      </c>
      <c r="J143" s="390">
        <f>J116+J131+J89</f>
        <v>116524.3</v>
      </c>
      <c r="K143" s="431"/>
      <c r="L143" s="425"/>
      <c r="M143" s="425"/>
      <c r="N143" s="425"/>
      <c r="O143" s="425"/>
      <c r="P143" s="425"/>
      <c r="Q143" s="426"/>
    </row>
    <row r="144" spans="1:17" ht="15" customHeight="1">
      <c r="A144" s="144" t="s">
        <v>116</v>
      </c>
      <c r="B144" s="491" t="s">
        <v>117</v>
      </c>
      <c r="C144" s="492"/>
      <c r="D144" s="492"/>
      <c r="E144" s="492"/>
      <c r="F144" s="492"/>
      <c r="G144" s="492"/>
      <c r="H144" s="492"/>
      <c r="I144" s="492"/>
      <c r="J144" s="492"/>
      <c r="K144" s="492"/>
      <c r="L144" s="492"/>
      <c r="M144" s="492"/>
      <c r="N144" s="492"/>
      <c r="O144" s="492"/>
      <c r="P144" s="492"/>
      <c r="Q144" s="493"/>
    </row>
    <row r="145" spans="1:17" ht="81.75" customHeight="1">
      <c r="A145" s="295" t="s">
        <v>118</v>
      </c>
      <c r="B145" s="298" t="s">
        <v>71</v>
      </c>
      <c r="C145" s="426" t="s">
        <v>161</v>
      </c>
      <c r="D145" s="172" t="s">
        <v>396</v>
      </c>
      <c r="E145" s="293">
        <f aca="true" t="shared" si="38" ref="E145:J145">SUM(E146:E148)</f>
        <v>1153.6</v>
      </c>
      <c r="F145" s="293">
        <f t="shared" si="38"/>
        <v>294.5</v>
      </c>
      <c r="G145" s="293">
        <f t="shared" si="38"/>
        <v>351.2</v>
      </c>
      <c r="H145" s="293">
        <f t="shared" si="38"/>
        <v>166.7</v>
      </c>
      <c r="I145" s="293">
        <f t="shared" si="38"/>
        <v>170.6</v>
      </c>
      <c r="J145" s="293">
        <f t="shared" si="38"/>
        <v>170.6</v>
      </c>
      <c r="K145" s="464" t="s">
        <v>273</v>
      </c>
      <c r="L145" s="197" t="s">
        <v>236</v>
      </c>
      <c r="M145" s="197" t="s">
        <v>236</v>
      </c>
      <c r="N145" s="197" t="s">
        <v>236</v>
      </c>
      <c r="O145" s="197" t="s">
        <v>236</v>
      </c>
      <c r="P145" s="197" t="s">
        <v>236</v>
      </c>
      <c r="Q145" s="449" t="s">
        <v>51</v>
      </c>
    </row>
    <row r="146" spans="1:17" ht="48" customHeight="1">
      <c r="A146" s="486" t="s">
        <v>287</v>
      </c>
      <c r="B146" s="488" t="s">
        <v>286</v>
      </c>
      <c r="C146" s="494"/>
      <c r="D146" s="425" t="s">
        <v>6</v>
      </c>
      <c r="E146" s="489">
        <f>SUM(F146:J147)</f>
        <v>742.6</v>
      </c>
      <c r="F146" s="490">
        <v>98.5</v>
      </c>
      <c r="G146" s="490">
        <f>136.6-0.4</f>
        <v>136.2</v>
      </c>
      <c r="H146" s="497">
        <f>130+36.7</f>
        <v>166.7</v>
      </c>
      <c r="I146" s="497">
        <f>118.5+52.1</f>
        <v>170.6</v>
      </c>
      <c r="J146" s="497">
        <f>118.5+52.1</f>
        <v>170.6</v>
      </c>
      <c r="K146" s="470"/>
      <c r="L146" s="480">
        <v>100</v>
      </c>
      <c r="M146" s="480">
        <v>100</v>
      </c>
      <c r="N146" s="480">
        <v>100</v>
      </c>
      <c r="O146" s="480">
        <v>100</v>
      </c>
      <c r="P146" s="480">
        <v>100</v>
      </c>
      <c r="Q146" s="495"/>
    </row>
    <row r="147" spans="1:17" ht="30.75" customHeight="1">
      <c r="A147" s="487"/>
      <c r="B147" s="460"/>
      <c r="C147" s="494"/>
      <c r="D147" s="425"/>
      <c r="E147" s="425"/>
      <c r="F147" s="490"/>
      <c r="G147" s="490"/>
      <c r="H147" s="497"/>
      <c r="I147" s="497"/>
      <c r="J147" s="497"/>
      <c r="K147" s="470"/>
      <c r="L147" s="481"/>
      <c r="M147" s="481"/>
      <c r="N147" s="481"/>
      <c r="O147" s="481"/>
      <c r="P147" s="481"/>
      <c r="Q147" s="495"/>
    </row>
    <row r="148" spans="1:17" ht="25.5" customHeight="1">
      <c r="A148" s="302" t="s">
        <v>288</v>
      </c>
      <c r="B148" s="298" t="s">
        <v>204</v>
      </c>
      <c r="C148" s="494"/>
      <c r="D148" s="275" t="s">
        <v>5</v>
      </c>
      <c r="E148" s="272">
        <f>F148+G148+H148+I148+J148</f>
        <v>411</v>
      </c>
      <c r="F148" s="272">
        <v>196</v>
      </c>
      <c r="G148" s="272">
        <v>215</v>
      </c>
      <c r="H148" s="267">
        <v>0</v>
      </c>
      <c r="I148" s="267">
        <v>0</v>
      </c>
      <c r="J148" s="267">
        <v>0</v>
      </c>
      <c r="K148" s="465"/>
      <c r="L148" s="304">
        <v>100</v>
      </c>
      <c r="M148" s="304">
        <v>100</v>
      </c>
      <c r="N148" s="304">
        <v>0</v>
      </c>
      <c r="O148" s="304">
        <v>0</v>
      </c>
      <c r="P148" s="304">
        <v>0</v>
      </c>
      <c r="Q148" s="496"/>
    </row>
    <row r="149" spans="1:17" ht="21" customHeight="1">
      <c r="A149" s="455" t="s">
        <v>119</v>
      </c>
      <c r="B149" s="458" t="s">
        <v>70</v>
      </c>
      <c r="C149" s="461" t="s">
        <v>161</v>
      </c>
      <c r="D149" s="172" t="s">
        <v>396</v>
      </c>
      <c r="E149" s="352">
        <f aca="true" t="shared" si="39" ref="E149:J149">SUM(E150:E151)</f>
        <v>12792.5</v>
      </c>
      <c r="F149" s="352">
        <f t="shared" si="39"/>
        <v>2294.7</v>
      </c>
      <c r="G149" s="352">
        <f t="shared" si="39"/>
        <v>2711</v>
      </c>
      <c r="H149" s="352">
        <f t="shared" si="39"/>
        <v>2595.6000000000004</v>
      </c>
      <c r="I149" s="352">
        <f t="shared" si="39"/>
        <v>2595.6000000000004</v>
      </c>
      <c r="J149" s="61">
        <f t="shared" si="39"/>
        <v>2595.6000000000004</v>
      </c>
      <c r="K149" s="464" t="s">
        <v>274</v>
      </c>
      <c r="L149" s="449" t="s">
        <v>275</v>
      </c>
      <c r="M149" s="449" t="s">
        <v>275</v>
      </c>
      <c r="N149" s="449" t="s">
        <v>275</v>
      </c>
      <c r="O149" s="449" t="s">
        <v>275</v>
      </c>
      <c r="P149" s="449" t="s">
        <v>275</v>
      </c>
      <c r="Q149" s="449" t="s">
        <v>51</v>
      </c>
    </row>
    <row r="150" spans="1:17" ht="15.75" customHeight="1">
      <c r="A150" s="482"/>
      <c r="B150" s="459"/>
      <c r="C150" s="484"/>
      <c r="D150" s="275" t="s">
        <v>5</v>
      </c>
      <c r="E150" s="278">
        <f>SUM(F150:J150)</f>
        <v>5399.3</v>
      </c>
      <c r="F150" s="278">
        <f>1250-18.7-196</f>
        <v>1035.3</v>
      </c>
      <c r="G150" s="278">
        <f>1000+364</f>
        <v>1364</v>
      </c>
      <c r="H150" s="278">
        <v>1000</v>
      </c>
      <c r="I150" s="278">
        <v>1000</v>
      </c>
      <c r="J150" s="278">
        <v>1000</v>
      </c>
      <c r="K150" s="470"/>
      <c r="L150" s="471"/>
      <c r="M150" s="471"/>
      <c r="N150" s="471"/>
      <c r="O150" s="471"/>
      <c r="P150" s="471"/>
      <c r="Q150" s="450"/>
    </row>
    <row r="151" spans="1:17" ht="21" customHeight="1">
      <c r="A151" s="483"/>
      <c r="B151" s="460"/>
      <c r="C151" s="485"/>
      <c r="D151" s="275" t="s">
        <v>6</v>
      </c>
      <c r="E151" s="278">
        <f>SUM(F151:J151)</f>
        <v>7393.200000000001</v>
      </c>
      <c r="F151" s="278">
        <v>1259.4</v>
      </c>
      <c r="G151" s="306">
        <f>1258.9+88.1</f>
        <v>1347</v>
      </c>
      <c r="H151" s="306">
        <f>1258.9+336.7</f>
        <v>1595.6000000000001</v>
      </c>
      <c r="I151" s="306">
        <f>1258.9+336.7</f>
        <v>1595.6000000000001</v>
      </c>
      <c r="J151" s="306">
        <f>1258.9+336.7</f>
        <v>1595.6000000000001</v>
      </c>
      <c r="K151" s="465"/>
      <c r="L151" s="472"/>
      <c r="M151" s="472"/>
      <c r="N151" s="472"/>
      <c r="O151" s="472"/>
      <c r="P151" s="472"/>
      <c r="Q151" s="448"/>
    </row>
    <row r="152" spans="1:17" ht="14.25" customHeight="1">
      <c r="A152" s="455" t="s">
        <v>120</v>
      </c>
      <c r="B152" s="458" t="s">
        <v>133</v>
      </c>
      <c r="C152" s="461" t="s">
        <v>161</v>
      </c>
      <c r="D152" s="478" t="s">
        <v>396</v>
      </c>
      <c r="E152" s="473">
        <f aca="true" t="shared" si="40" ref="E152:J152">SUM(E156,E162)</f>
        <v>715.4</v>
      </c>
      <c r="F152" s="473">
        <f t="shared" si="40"/>
        <v>607.4</v>
      </c>
      <c r="G152" s="473">
        <f t="shared" si="40"/>
        <v>27</v>
      </c>
      <c r="H152" s="473">
        <f t="shared" si="40"/>
        <v>27</v>
      </c>
      <c r="I152" s="473">
        <f t="shared" si="40"/>
        <v>27</v>
      </c>
      <c r="J152" s="473">
        <f t="shared" si="40"/>
        <v>27</v>
      </c>
      <c r="K152" s="464" t="s">
        <v>263</v>
      </c>
      <c r="L152" s="449" t="s">
        <v>236</v>
      </c>
      <c r="M152" s="449" t="s">
        <v>236</v>
      </c>
      <c r="N152" s="449" t="s">
        <v>236</v>
      </c>
      <c r="O152" s="449" t="s">
        <v>236</v>
      </c>
      <c r="P152" s="449" t="s">
        <v>236</v>
      </c>
      <c r="Q152" s="449" t="s">
        <v>51</v>
      </c>
    </row>
    <row r="153" spans="1:17" ht="11.25" customHeight="1">
      <c r="A153" s="475"/>
      <c r="B153" s="476"/>
      <c r="C153" s="477"/>
      <c r="D153" s="479"/>
      <c r="E153" s="473"/>
      <c r="F153" s="473"/>
      <c r="G153" s="473"/>
      <c r="H153" s="473"/>
      <c r="I153" s="473"/>
      <c r="J153" s="473"/>
      <c r="K153" s="474"/>
      <c r="L153" s="471"/>
      <c r="M153" s="471"/>
      <c r="N153" s="471"/>
      <c r="O153" s="471"/>
      <c r="P153" s="471"/>
      <c r="Q153" s="471"/>
    </row>
    <row r="154" spans="1:17" ht="11.25" customHeight="1">
      <c r="A154" s="457"/>
      <c r="B154" s="460"/>
      <c r="C154" s="463"/>
      <c r="D154" s="285" t="s">
        <v>5</v>
      </c>
      <c r="E154" s="278">
        <f aca="true" t="shared" si="41" ref="E154:J154">E152</f>
        <v>715.4</v>
      </c>
      <c r="F154" s="278">
        <f t="shared" si="41"/>
        <v>607.4</v>
      </c>
      <c r="G154" s="278">
        <f t="shared" si="41"/>
        <v>27</v>
      </c>
      <c r="H154" s="278">
        <f t="shared" si="41"/>
        <v>27</v>
      </c>
      <c r="I154" s="278">
        <f t="shared" si="41"/>
        <v>27</v>
      </c>
      <c r="J154" s="278">
        <f t="shared" si="41"/>
        <v>27</v>
      </c>
      <c r="K154" s="465"/>
      <c r="L154" s="472"/>
      <c r="M154" s="472"/>
      <c r="N154" s="472"/>
      <c r="O154" s="472"/>
      <c r="P154" s="472"/>
      <c r="Q154" s="448"/>
    </row>
    <row r="155" spans="1:17" ht="21" customHeight="1">
      <c r="A155" s="455" t="s">
        <v>121</v>
      </c>
      <c r="B155" s="458" t="s">
        <v>68</v>
      </c>
      <c r="C155" s="461" t="s">
        <v>161</v>
      </c>
      <c r="D155" s="172" t="s">
        <v>396</v>
      </c>
      <c r="E155" s="268">
        <f aca="true" t="shared" si="42" ref="E155:J155">E156</f>
        <v>542.4</v>
      </c>
      <c r="F155" s="268">
        <f t="shared" si="42"/>
        <v>542.4</v>
      </c>
      <c r="G155" s="268">
        <f t="shared" si="42"/>
        <v>0</v>
      </c>
      <c r="H155" s="268">
        <f t="shared" si="42"/>
        <v>0</v>
      </c>
      <c r="I155" s="268">
        <f t="shared" si="42"/>
        <v>0</v>
      </c>
      <c r="J155" s="268">
        <f t="shared" si="42"/>
        <v>0</v>
      </c>
      <c r="K155" s="464" t="s">
        <v>279</v>
      </c>
      <c r="L155" s="447" t="s">
        <v>276</v>
      </c>
      <c r="M155" s="447" t="s">
        <v>277</v>
      </c>
      <c r="N155" s="447" t="s">
        <v>278</v>
      </c>
      <c r="O155" s="447" t="s">
        <v>278</v>
      </c>
      <c r="P155" s="447" t="s">
        <v>278</v>
      </c>
      <c r="Q155" s="449" t="s">
        <v>51</v>
      </c>
    </row>
    <row r="156" spans="1:17" ht="21" customHeight="1">
      <c r="A156" s="456"/>
      <c r="B156" s="459"/>
      <c r="C156" s="462"/>
      <c r="D156" s="451" t="s">
        <v>5</v>
      </c>
      <c r="E156" s="453">
        <f>SUM(F156:H157)</f>
        <v>542.4</v>
      </c>
      <c r="F156" s="453">
        <f>250+292.4</f>
        <v>542.4</v>
      </c>
      <c r="G156" s="453">
        <v>0</v>
      </c>
      <c r="H156" s="453">
        <v>0</v>
      </c>
      <c r="I156" s="453">
        <v>0</v>
      </c>
      <c r="J156" s="453">
        <v>0</v>
      </c>
      <c r="K156" s="470"/>
      <c r="L156" s="471"/>
      <c r="M156" s="471"/>
      <c r="N156" s="471"/>
      <c r="O156" s="471"/>
      <c r="P156" s="471"/>
      <c r="Q156" s="450"/>
    </row>
    <row r="157" spans="1:17" ht="6.75" customHeight="1">
      <c r="A157" s="457"/>
      <c r="B157" s="460"/>
      <c r="C157" s="463"/>
      <c r="D157" s="468"/>
      <c r="E157" s="469"/>
      <c r="F157" s="469"/>
      <c r="G157" s="469"/>
      <c r="H157" s="469"/>
      <c r="I157" s="469"/>
      <c r="J157" s="469"/>
      <c r="K157" s="465"/>
      <c r="L157" s="472"/>
      <c r="M157" s="472"/>
      <c r="N157" s="472"/>
      <c r="O157" s="472"/>
      <c r="P157" s="472"/>
      <c r="Q157" s="448"/>
    </row>
    <row r="158" spans="1:17" ht="24" customHeight="1">
      <c r="A158" s="455" t="s">
        <v>122</v>
      </c>
      <c r="B158" s="458" t="s">
        <v>153</v>
      </c>
      <c r="C158" s="461" t="s">
        <v>161</v>
      </c>
      <c r="D158" s="172" t="s">
        <v>396</v>
      </c>
      <c r="E158" s="269">
        <f aca="true" t="shared" si="43" ref="E158:J158">E159</f>
        <v>0</v>
      </c>
      <c r="F158" s="269">
        <f t="shared" si="43"/>
        <v>0</v>
      </c>
      <c r="G158" s="269">
        <f t="shared" si="43"/>
        <v>0</v>
      </c>
      <c r="H158" s="269">
        <f t="shared" si="43"/>
        <v>0</v>
      </c>
      <c r="I158" s="269">
        <f t="shared" si="43"/>
        <v>0</v>
      </c>
      <c r="J158" s="269">
        <f t="shared" si="43"/>
        <v>0</v>
      </c>
      <c r="K158" s="464" t="s">
        <v>281</v>
      </c>
      <c r="L158" s="447" t="s">
        <v>280</v>
      </c>
      <c r="M158" s="447" t="s">
        <v>282</v>
      </c>
      <c r="N158" s="447" t="s">
        <v>283</v>
      </c>
      <c r="O158" s="447" t="s">
        <v>283</v>
      </c>
      <c r="P158" s="447" t="s">
        <v>283</v>
      </c>
      <c r="Q158" s="449" t="s">
        <v>51</v>
      </c>
    </row>
    <row r="159" spans="1:17" ht="17.25" customHeight="1">
      <c r="A159" s="456"/>
      <c r="B159" s="459"/>
      <c r="C159" s="462"/>
      <c r="D159" s="451" t="s">
        <v>5</v>
      </c>
      <c r="E159" s="453">
        <f>SUM(F159:H160)</f>
        <v>0</v>
      </c>
      <c r="F159" s="453">
        <f>20-20</f>
        <v>0</v>
      </c>
      <c r="G159" s="453">
        <v>0</v>
      </c>
      <c r="H159" s="453">
        <v>0</v>
      </c>
      <c r="I159" s="453">
        <v>0</v>
      </c>
      <c r="J159" s="453">
        <v>0</v>
      </c>
      <c r="K159" s="470"/>
      <c r="L159" s="466"/>
      <c r="M159" s="466"/>
      <c r="N159" s="466"/>
      <c r="O159" s="466"/>
      <c r="P159" s="466"/>
      <c r="Q159" s="450"/>
    </row>
    <row r="160" spans="1:17" ht="12" customHeight="1">
      <c r="A160" s="457"/>
      <c r="B160" s="460"/>
      <c r="C160" s="463"/>
      <c r="D160" s="468"/>
      <c r="E160" s="469"/>
      <c r="F160" s="469"/>
      <c r="G160" s="469"/>
      <c r="H160" s="469"/>
      <c r="I160" s="469"/>
      <c r="J160" s="469"/>
      <c r="K160" s="465"/>
      <c r="L160" s="467"/>
      <c r="M160" s="467"/>
      <c r="N160" s="467"/>
      <c r="O160" s="467"/>
      <c r="P160" s="467"/>
      <c r="Q160" s="448"/>
    </row>
    <row r="161" spans="1:17" ht="21.75" customHeight="1">
      <c r="A161" s="455" t="s">
        <v>123</v>
      </c>
      <c r="B161" s="458" t="s">
        <v>69</v>
      </c>
      <c r="C161" s="461" t="s">
        <v>161</v>
      </c>
      <c r="D161" s="172" t="s">
        <v>396</v>
      </c>
      <c r="E161" s="269">
        <f aca="true" t="shared" si="44" ref="E161:J161">E162</f>
        <v>173</v>
      </c>
      <c r="F161" s="269">
        <f t="shared" si="44"/>
        <v>65</v>
      </c>
      <c r="G161" s="269">
        <f t="shared" si="44"/>
        <v>27</v>
      </c>
      <c r="H161" s="269">
        <f t="shared" si="44"/>
        <v>27</v>
      </c>
      <c r="I161" s="269">
        <f t="shared" si="44"/>
        <v>27</v>
      </c>
      <c r="J161" s="269">
        <f t="shared" si="44"/>
        <v>27</v>
      </c>
      <c r="K161" s="464" t="s">
        <v>284</v>
      </c>
      <c r="L161" s="447" t="s">
        <v>236</v>
      </c>
      <c r="M161" s="447" t="s">
        <v>236</v>
      </c>
      <c r="N161" s="447" t="s">
        <v>236</v>
      </c>
      <c r="O161" s="447" t="s">
        <v>236</v>
      </c>
      <c r="P161" s="447" t="s">
        <v>236</v>
      </c>
      <c r="Q161" s="449" t="s">
        <v>51</v>
      </c>
    </row>
    <row r="162" spans="1:17" ht="21.75" customHeight="1">
      <c r="A162" s="456"/>
      <c r="B162" s="459"/>
      <c r="C162" s="462"/>
      <c r="D162" s="451" t="s">
        <v>5</v>
      </c>
      <c r="E162" s="453">
        <f>SUM(F162:J162)</f>
        <v>173</v>
      </c>
      <c r="F162" s="453">
        <v>65</v>
      </c>
      <c r="G162" s="453">
        <v>27</v>
      </c>
      <c r="H162" s="453">
        <v>27</v>
      </c>
      <c r="I162" s="453">
        <v>27</v>
      </c>
      <c r="J162" s="453">
        <v>27</v>
      </c>
      <c r="K162" s="465"/>
      <c r="L162" s="448"/>
      <c r="M162" s="448"/>
      <c r="N162" s="448"/>
      <c r="O162" s="448"/>
      <c r="P162" s="448"/>
      <c r="Q162" s="450"/>
    </row>
    <row r="163" spans="1:17" ht="23.25" customHeight="1" thickBot="1">
      <c r="A163" s="457"/>
      <c r="B163" s="460"/>
      <c r="C163" s="463"/>
      <c r="D163" s="452"/>
      <c r="E163" s="454"/>
      <c r="F163" s="454"/>
      <c r="G163" s="454"/>
      <c r="H163" s="454"/>
      <c r="I163" s="454"/>
      <c r="J163" s="454"/>
      <c r="K163" s="292" t="s">
        <v>285</v>
      </c>
      <c r="L163" s="197" t="s">
        <v>236</v>
      </c>
      <c r="M163" s="197" t="s">
        <v>236</v>
      </c>
      <c r="N163" s="197" t="s">
        <v>236</v>
      </c>
      <c r="O163" s="197" t="s">
        <v>236</v>
      </c>
      <c r="P163" s="197" t="s">
        <v>236</v>
      </c>
      <c r="Q163" s="448"/>
    </row>
    <row r="164" spans="1:17" ht="12" customHeight="1">
      <c r="A164" s="426"/>
      <c r="B164" s="444" t="s">
        <v>124</v>
      </c>
      <c r="C164" s="433"/>
      <c r="D164" s="64" t="s">
        <v>11</v>
      </c>
      <c r="E164" s="437">
        <f aca="true" t="shared" si="45" ref="E164:J164">SUM(E166:E167)</f>
        <v>14661.5</v>
      </c>
      <c r="F164" s="437">
        <f t="shared" si="45"/>
        <v>3196.6</v>
      </c>
      <c r="G164" s="437">
        <f t="shared" si="45"/>
        <v>3089.2</v>
      </c>
      <c r="H164" s="437">
        <f t="shared" si="45"/>
        <v>2789.3</v>
      </c>
      <c r="I164" s="437">
        <f t="shared" si="45"/>
        <v>2793.2</v>
      </c>
      <c r="J164" s="439">
        <f t="shared" si="45"/>
        <v>2793.2</v>
      </c>
      <c r="K164" s="441"/>
      <c r="L164" s="432"/>
      <c r="M164" s="432"/>
      <c r="N164" s="432"/>
      <c r="O164" s="432"/>
      <c r="P164" s="432"/>
      <c r="Q164" s="426"/>
    </row>
    <row r="165" spans="1:17" ht="12" customHeight="1">
      <c r="A165" s="426"/>
      <c r="B165" s="444"/>
      <c r="C165" s="433"/>
      <c r="D165" s="65" t="s">
        <v>397</v>
      </c>
      <c r="E165" s="438"/>
      <c r="F165" s="438"/>
      <c r="G165" s="438"/>
      <c r="H165" s="438"/>
      <c r="I165" s="438"/>
      <c r="J165" s="440"/>
      <c r="K165" s="442"/>
      <c r="L165" s="425"/>
      <c r="M165" s="425"/>
      <c r="N165" s="425"/>
      <c r="O165" s="425"/>
      <c r="P165" s="425"/>
      <c r="Q165" s="426"/>
    </row>
    <row r="166" spans="1:17" ht="12" customHeight="1">
      <c r="A166" s="426"/>
      <c r="B166" s="444"/>
      <c r="C166" s="433"/>
      <c r="D166" s="66" t="s">
        <v>5</v>
      </c>
      <c r="E166" s="336">
        <f>SUM(F166:J166)</f>
        <v>6525.7</v>
      </c>
      <c r="F166" s="336">
        <f>SUM(F152,F150,F148)</f>
        <v>1838.6999999999998</v>
      </c>
      <c r="G166" s="336">
        <f>SUM(G152,G150,G148)</f>
        <v>1606</v>
      </c>
      <c r="H166" s="336">
        <f>SUM(H152,H150,H148)</f>
        <v>1027</v>
      </c>
      <c r="I166" s="336">
        <f>SUM(I152,I150,I148)</f>
        <v>1027</v>
      </c>
      <c r="J166" s="71">
        <f>SUM(J152,J150,J148)</f>
        <v>1027</v>
      </c>
      <c r="K166" s="442"/>
      <c r="L166" s="425"/>
      <c r="M166" s="425"/>
      <c r="N166" s="425"/>
      <c r="O166" s="425"/>
      <c r="P166" s="425"/>
      <c r="Q166" s="426"/>
    </row>
    <row r="167" spans="1:17" ht="12" customHeight="1" thickBot="1">
      <c r="A167" s="426"/>
      <c r="B167" s="445"/>
      <c r="C167" s="446"/>
      <c r="D167" s="174" t="s">
        <v>6</v>
      </c>
      <c r="E167" s="339">
        <f>SUM(F167:J167)</f>
        <v>8135.8</v>
      </c>
      <c r="F167" s="339">
        <f>SUM(F146,F151)</f>
        <v>1357.9</v>
      </c>
      <c r="G167" s="339">
        <f>SUM(G146,G151)</f>
        <v>1483.2</v>
      </c>
      <c r="H167" s="339">
        <f>SUM(H146,H151)</f>
        <v>1762.3000000000002</v>
      </c>
      <c r="I167" s="339">
        <f>SUM(I146,I151)</f>
        <v>1766.2</v>
      </c>
      <c r="J167" s="391">
        <f>SUM(J146,J151)</f>
        <v>1766.2</v>
      </c>
      <c r="K167" s="443"/>
      <c r="L167" s="425"/>
      <c r="M167" s="425"/>
      <c r="N167" s="425"/>
      <c r="O167" s="425"/>
      <c r="P167" s="425"/>
      <c r="Q167" s="426"/>
    </row>
    <row r="168" spans="1:17" ht="15.75" customHeight="1">
      <c r="A168" s="433"/>
      <c r="B168" s="434" t="s">
        <v>13</v>
      </c>
      <c r="C168" s="433"/>
      <c r="D168" s="435" t="s">
        <v>396</v>
      </c>
      <c r="E168" s="427">
        <f aca="true" t="shared" si="46" ref="E168:J168">SUM(E170:E171)</f>
        <v>808348.4000000001</v>
      </c>
      <c r="F168" s="437">
        <f t="shared" si="46"/>
        <v>173578.2</v>
      </c>
      <c r="G168" s="427">
        <f>SUM(G170:G171)</f>
        <v>164428.8</v>
      </c>
      <c r="H168" s="427">
        <f t="shared" si="46"/>
        <v>146738.2</v>
      </c>
      <c r="I168" s="427">
        <f t="shared" si="46"/>
        <v>161801.6</v>
      </c>
      <c r="J168" s="429">
        <f t="shared" si="46"/>
        <v>161801.6</v>
      </c>
      <c r="K168" s="431"/>
      <c r="L168" s="425"/>
      <c r="M168" s="425"/>
      <c r="N168" s="425"/>
      <c r="O168" s="425"/>
      <c r="P168" s="425"/>
      <c r="Q168" s="426"/>
    </row>
    <row r="169" spans="1:17" ht="15.75" customHeight="1">
      <c r="A169" s="433"/>
      <c r="B169" s="434"/>
      <c r="C169" s="433"/>
      <c r="D169" s="436"/>
      <c r="E169" s="428"/>
      <c r="F169" s="438"/>
      <c r="G169" s="428"/>
      <c r="H169" s="428"/>
      <c r="I169" s="428"/>
      <c r="J169" s="430"/>
      <c r="K169" s="431"/>
      <c r="L169" s="425"/>
      <c r="M169" s="425"/>
      <c r="N169" s="425"/>
      <c r="O169" s="425"/>
      <c r="P169" s="425"/>
      <c r="Q169" s="426"/>
    </row>
    <row r="170" spans="1:17" ht="15.75" customHeight="1">
      <c r="A170" s="433"/>
      <c r="B170" s="434"/>
      <c r="C170" s="433"/>
      <c r="D170" s="65" t="s">
        <v>5</v>
      </c>
      <c r="E170" s="344">
        <f>SUM(F170:J170)</f>
        <v>242972.80000000002</v>
      </c>
      <c r="F170" s="334">
        <f>SUM(F166,F142,F81,F34,F24,F14)</f>
        <v>64241.399999999994</v>
      </c>
      <c r="G170" s="344">
        <f>SUM(G166,G142,G81,G34,G24,G14,)</f>
        <v>54198.1</v>
      </c>
      <c r="H170" s="334">
        <f>SUM(H166,H142,H81,H34,H24,H14)</f>
        <v>37511.1</v>
      </c>
      <c r="I170" s="334">
        <f>SUM(I166,I142,I81,I34,I24,I14)</f>
        <v>43511.1</v>
      </c>
      <c r="J170" s="346">
        <f>SUM(J166,J142,J81,J34,J24,J14)</f>
        <v>43511.1</v>
      </c>
      <c r="K170" s="431"/>
      <c r="L170" s="425"/>
      <c r="M170" s="425"/>
      <c r="N170" s="425"/>
      <c r="O170" s="425"/>
      <c r="P170" s="425"/>
      <c r="Q170" s="426"/>
    </row>
    <row r="171" spans="1:17" ht="15.75" customHeight="1" thickBot="1">
      <c r="A171" s="433"/>
      <c r="B171" s="434"/>
      <c r="C171" s="433"/>
      <c r="D171" s="392" t="s">
        <v>6</v>
      </c>
      <c r="E171" s="393">
        <f>SUM(F171:J171)</f>
        <v>565375.6000000001</v>
      </c>
      <c r="F171" s="394">
        <f>SUM(F167,F143,F82)</f>
        <v>109336.8</v>
      </c>
      <c r="G171" s="393">
        <f>SUM(G167,G143,G82)</f>
        <v>110230.7</v>
      </c>
      <c r="H171" s="393">
        <f>SUM(H167,H143)</f>
        <v>109227.10000000002</v>
      </c>
      <c r="I171" s="393">
        <f>SUM(I167,I143)</f>
        <v>118290.5</v>
      </c>
      <c r="J171" s="395">
        <f>SUM(J167,J143)</f>
        <v>118290.5</v>
      </c>
      <c r="K171" s="431"/>
      <c r="L171" s="425"/>
      <c r="M171" s="425"/>
      <c r="N171" s="425"/>
      <c r="O171" s="425"/>
      <c r="P171" s="425"/>
      <c r="Q171" s="426"/>
    </row>
    <row r="174" ht="18.75" customHeight="1">
      <c r="F174" s="143"/>
    </row>
    <row r="175" spans="6:9" ht="18.75" customHeight="1">
      <c r="F175" s="143"/>
      <c r="G175" s="143"/>
      <c r="I175" s="143"/>
    </row>
  </sheetData>
  <sheetProtection/>
  <mergeCells count="673">
    <mergeCell ref="G1:Q1"/>
    <mergeCell ref="A2:Q2"/>
    <mergeCell ref="A4:A5"/>
    <mergeCell ref="B4:B5"/>
    <mergeCell ref="C4:C5"/>
    <mergeCell ref="D4:D5"/>
    <mergeCell ref="E4:J4"/>
    <mergeCell ref="K4:P4"/>
    <mergeCell ref="Q4:Q5"/>
    <mergeCell ref="B7:Q7"/>
    <mergeCell ref="B8:Q8"/>
    <mergeCell ref="A9:A11"/>
    <mergeCell ref="B9:B11"/>
    <mergeCell ref="C9:C11"/>
    <mergeCell ref="K9:K11"/>
    <mergeCell ref="L9:L11"/>
    <mergeCell ref="M9:M11"/>
    <mergeCell ref="N9:N11"/>
    <mergeCell ref="O9:O11"/>
    <mergeCell ref="P9:P11"/>
    <mergeCell ref="Q9:Q11"/>
    <mergeCell ref="D10:D11"/>
    <mergeCell ref="E10:E11"/>
    <mergeCell ref="F10:F11"/>
    <mergeCell ref="G10:G11"/>
    <mergeCell ref="H10:H11"/>
    <mergeCell ref="I10:I11"/>
    <mergeCell ref="J10:J11"/>
    <mergeCell ref="K12:K15"/>
    <mergeCell ref="L12:L15"/>
    <mergeCell ref="A12:A15"/>
    <mergeCell ref="B12:B15"/>
    <mergeCell ref="C12:C15"/>
    <mergeCell ref="D12:D13"/>
    <mergeCell ref="E12:E13"/>
    <mergeCell ref="F12:F13"/>
    <mergeCell ref="M12:M15"/>
    <mergeCell ref="N12:N15"/>
    <mergeCell ref="O12:O15"/>
    <mergeCell ref="P12:P15"/>
    <mergeCell ref="Q12:Q15"/>
    <mergeCell ref="B16:Q16"/>
    <mergeCell ref="G12:G13"/>
    <mergeCell ref="H12:H13"/>
    <mergeCell ref="I12:I13"/>
    <mergeCell ref="J12:J13"/>
    <mergeCell ref="A17:A21"/>
    <mergeCell ref="B17:B21"/>
    <mergeCell ref="C17:C21"/>
    <mergeCell ref="K17:K21"/>
    <mergeCell ref="L17:L21"/>
    <mergeCell ref="M17:M21"/>
    <mergeCell ref="J18:J19"/>
    <mergeCell ref="D20:D21"/>
    <mergeCell ref="E20:E21"/>
    <mergeCell ref="F20:F21"/>
    <mergeCell ref="N17:N21"/>
    <mergeCell ref="O17:O21"/>
    <mergeCell ref="P17:P21"/>
    <mergeCell ref="Q17:Q21"/>
    <mergeCell ref="D18:D19"/>
    <mergeCell ref="E18:E19"/>
    <mergeCell ref="F18:F19"/>
    <mergeCell ref="G18:G19"/>
    <mergeCell ref="H18:H19"/>
    <mergeCell ref="I18:I19"/>
    <mergeCell ref="A22:A25"/>
    <mergeCell ref="B22:B25"/>
    <mergeCell ref="C22:C25"/>
    <mergeCell ref="D22:D23"/>
    <mergeCell ref="E22:E23"/>
    <mergeCell ref="F22:F23"/>
    <mergeCell ref="K22:K25"/>
    <mergeCell ref="L22:L25"/>
    <mergeCell ref="G20:G21"/>
    <mergeCell ref="H20:H21"/>
    <mergeCell ref="I20:I21"/>
    <mergeCell ref="J20:J21"/>
    <mergeCell ref="M22:M25"/>
    <mergeCell ref="N22:N25"/>
    <mergeCell ref="O22:O25"/>
    <mergeCell ref="P22:P25"/>
    <mergeCell ref="Q22:Q25"/>
    <mergeCell ref="B26:Q26"/>
    <mergeCell ref="G22:G23"/>
    <mergeCell ref="H22:H23"/>
    <mergeCell ref="I22:I23"/>
    <mergeCell ref="J22:J23"/>
    <mergeCell ref="A27:A31"/>
    <mergeCell ref="B27:B31"/>
    <mergeCell ref="C27:C31"/>
    <mergeCell ref="K27:K29"/>
    <mergeCell ref="L27:L29"/>
    <mergeCell ref="M27:M29"/>
    <mergeCell ref="J28:J31"/>
    <mergeCell ref="K30:K31"/>
    <mergeCell ref="L30:L31"/>
    <mergeCell ref="M30:M31"/>
    <mergeCell ref="N27:N29"/>
    <mergeCell ref="O27:O29"/>
    <mergeCell ref="P27:P29"/>
    <mergeCell ref="Q27:Q31"/>
    <mergeCell ref="D28:D31"/>
    <mergeCell ref="E28:E31"/>
    <mergeCell ref="F28:F31"/>
    <mergeCell ref="G28:G31"/>
    <mergeCell ref="H28:H31"/>
    <mergeCell ref="I28:I31"/>
    <mergeCell ref="N30:N31"/>
    <mergeCell ref="O30:O31"/>
    <mergeCell ref="P30:P31"/>
    <mergeCell ref="A32:A35"/>
    <mergeCell ref="B32:B35"/>
    <mergeCell ref="C32:C35"/>
    <mergeCell ref="D32:D33"/>
    <mergeCell ref="E32:E33"/>
    <mergeCell ref="F32:F33"/>
    <mergeCell ref="G32:G33"/>
    <mergeCell ref="H32:H33"/>
    <mergeCell ref="I32:I33"/>
    <mergeCell ref="J32:J33"/>
    <mergeCell ref="K32:K35"/>
    <mergeCell ref="L32:L35"/>
    <mergeCell ref="M32:M35"/>
    <mergeCell ref="N32:N35"/>
    <mergeCell ref="O32:O35"/>
    <mergeCell ref="P32:P35"/>
    <mergeCell ref="Q32:Q35"/>
    <mergeCell ref="B36:Q36"/>
    <mergeCell ref="A37:A41"/>
    <mergeCell ref="B37:B41"/>
    <mergeCell ref="C37:C41"/>
    <mergeCell ref="K37:K41"/>
    <mergeCell ref="D38:D41"/>
    <mergeCell ref="E38:E39"/>
    <mergeCell ref="F38:F39"/>
    <mergeCell ref="G38:G39"/>
    <mergeCell ref="H38:H39"/>
    <mergeCell ref="I38:I39"/>
    <mergeCell ref="J38:J39"/>
    <mergeCell ref="L38:L39"/>
    <mergeCell ref="M38:M39"/>
    <mergeCell ref="N38:N39"/>
    <mergeCell ref="O38:O39"/>
    <mergeCell ref="P38:P39"/>
    <mergeCell ref="Q38:Q39"/>
    <mergeCell ref="E40:E41"/>
    <mergeCell ref="F40:F41"/>
    <mergeCell ref="G40:G41"/>
    <mergeCell ref="H40:H41"/>
    <mergeCell ref="I40:I41"/>
    <mergeCell ref="J40:J41"/>
    <mergeCell ref="L40:L41"/>
    <mergeCell ref="M40:M41"/>
    <mergeCell ref="N40:N41"/>
    <mergeCell ref="O40:O41"/>
    <mergeCell ref="P40:P41"/>
    <mergeCell ref="Q40:Q41"/>
    <mergeCell ref="A42:A44"/>
    <mergeCell ref="B42:B44"/>
    <mergeCell ref="C42:C44"/>
    <mergeCell ref="K42:K44"/>
    <mergeCell ref="A45:A47"/>
    <mergeCell ref="B45:B47"/>
    <mergeCell ref="C45:C47"/>
    <mergeCell ref="K45:K47"/>
    <mergeCell ref="A48:A50"/>
    <mergeCell ref="B48:B50"/>
    <mergeCell ref="C48:C50"/>
    <mergeCell ref="K48:K50"/>
    <mergeCell ref="A51:A55"/>
    <mergeCell ref="B51:B55"/>
    <mergeCell ref="C51:C55"/>
    <mergeCell ref="D51:D53"/>
    <mergeCell ref="E51:E53"/>
    <mergeCell ref="F51:F53"/>
    <mergeCell ref="G51:G53"/>
    <mergeCell ref="H51:H53"/>
    <mergeCell ref="I51:I53"/>
    <mergeCell ref="J51:J53"/>
    <mergeCell ref="K51:K55"/>
    <mergeCell ref="L51:L55"/>
    <mergeCell ref="M51:M55"/>
    <mergeCell ref="N51:N55"/>
    <mergeCell ref="O51:O55"/>
    <mergeCell ref="P51:P55"/>
    <mergeCell ref="Q51:Q55"/>
    <mergeCell ref="A56:A58"/>
    <mergeCell ref="B56:B58"/>
    <mergeCell ref="C56:C58"/>
    <mergeCell ref="K56:K58"/>
    <mergeCell ref="L56:L58"/>
    <mergeCell ref="M56:M58"/>
    <mergeCell ref="N56:N58"/>
    <mergeCell ref="O56:O58"/>
    <mergeCell ref="P56:P58"/>
    <mergeCell ref="Q56:Q58"/>
    <mergeCell ref="D57:D58"/>
    <mergeCell ref="E57:E58"/>
    <mergeCell ref="F57:F58"/>
    <mergeCell ref="G57:G58"/>
    <mergeCell ref="H57:H58"/>
    <mergeCell ref="Q59:Q61"/>
    <mergeCell ref="I57:I58"/>
    <mergeCell ref="J57:J58"/>
    <mergeCell ref="A59:A61"/>
    <mergeCell ref="B59:B61"/>
    <mergeCell ref="C59:C61"/>
    <mergeCell ref="K59:K61"/>
    <mergeCell ref="D60:D61"/>
    <mergeCell ref="E60:E61"/>
    <mergeCell ref="F60:F61"/>
    <mergeCell ref="A62:A63"/>
    <mergeCell ref="B62:B63"/>
    <mergeCell ref="C62:C63"/>
    <mergeCell ref="L59:L61"/>
    <mergeCell ref="M59:M61"/>
    <mergeCell ref="N59:N61"/>
    <mergeCell ref="G60:G61"/>
    <mergeCell ref="L62:L63"/>
    <mergeCell ref="M62:M63"/>
    <mergeCell ref="N62:N63"/>
    <mergeCell ref="O62:O63"/>
    <mergeCell ref="P62:P63"/>
    <mergeCell ref="H60:H61"/>
    <mergeCell ref="I60:I61"/>
    <mergeCell ref="J60:J61"/>
    <mergeCell ref="O59:O61"/>
    <mergeCell ref="P59:P61"/>
    <mergeCell ref="Q62:Q63"/>
    <mergeCell ref="C64:C66"/>
    <mergeCell ref="K64:K66"/>
    <mergeCell ref="L64:L66"/>
    <mergeCell ref="M64:M66"/>
    <mergeCell ref="N64:N66"/>
    <mergeCell ref="O64:O66"/>
    <mergeCell ref="P64:P66"/>
    <mergeCell ref="Q64:Q66"/>
    <mergeCell ref="K62:K63"/>
    <mergeCell ref="A67:A72"/>
    <mergeCell ref="B67:B72"/>
    <mergeCell ref="C67:C72"/>
    <mergeCell ref="D67:D70"/>
    <mergeCell ref="E67:E70"/>
    <mergeCell ref="F67:F70"/>
    <mergeCell ref="G67:G70"/>
    <mergeCell ref="H67:H70"/>
    <mergeCell ref="I67:I70"/>
    <mergeCell ref="J67:J70"/>
    <mergeCell ref="K67:K72"/>
    <mergeCell ref="L67:L72"/>
    <mergeCell ref="M67:M72"/>
    <mergeCell ref="N67:N72"/>
    <mergeCell ref="O67:O72"/>
    <mergeCell ref="P67:P72"/>
    <mergeCell ref="Q67:Q72"/>
    <mergeCell ref="A73:A75"/>
    <mergeCell ref="B73:B75"/>
    <mergeCell ref="C73:C75"/>
    <mergeCell ref="K73:K75"/>
    <mergeCell ref="L73:L75"/>
    <mergeCell ref="M73:M75"/>
    <mergeCell ref="N73:N75"/>
    <mergeCell ref="O73:O75"/>
    <mergeCell ref="P73:P75"/>
    <mergeCell ref="Q73:Q75"/>
    <mergeCell ref="D74:D75"/>
    <mergeCell ref="E74:E75"/>
    <mergeCell ref="F74:F75"/>
    <mergeCell ref="G74:G75"/>
    <mergeCell ref="H74:H75"/>
    <mergeCell ref="I74:I75"/>
    <mergeCell ref="J74:J75"/>
    <mergeCell ref="A76:A78"/>
    <mergeCell ref="B76:B78"/>
    <mergeCell ref="C76:C78"/>
    <mergeCell ref="K76:K78"/>
    <mergeCell ref="L76:L78"/>
    <mergeCell ref="M76:M78"/>
    <mergeCell ref="N76:N78"/>
    <mergeCell ref="O76:O78"/>
    <mergeCell ref="P76:P78"/>
    <mergeCell ref="Q76:Q78"/>
    <mergeCell ref="K79:K82"/>
    <mergeCell ref="L79:L82"/>
    <mergeCell ref="A79:A82"/>
    <mergeCell ref="B79:B82"/>
    <mergeCell ref="C79:C82"/>
    <mergeCell ref="D79:D80"/>
    <mergeCell ref="E79:E80"/>
    <mergeCell ref="F79:F80"/>
    <mergeCell ref="M79:M82"/>
    <mergeCell ref="N79:N82"/>
    <mergeCell ref="O79:O82"/>
    <mergeCell ref="P79:P82"/>
    <mergeCell ref="Q79:Q82"/>
    <mergeCell ref="B83:Q83"/>
    <mergeCell ref="G79:G80"/>
    <mergeCell ref="H79:H80"/>
    <mergeCell ref="I79:I80"/>
    <mergeCell ref="J79:J80"/>
    <mergeCell ref="A84:A89"/>
    <mergeCell ref="B84:B89"/>
    <mergeCell ref="C84:C89"/>
    <mergeCell ref="D84:D87"/>
    <mergeCell ref="E84:E87"/>
    <mergeCell ref="F84:F87"/>
    <mergeCell ref="G84:G87"/>
    <mergeCell ref="H84:H87"/>
    <mergeCell ref="I84:I87"/>
    <mergeCell ref="J84:J87"/>
    <mergeCell ref="K84:K89"/>
    <mergeCell ref="L84:L89"/>
    <mergeCell ref="M84:M89"/>
    <mergeCell ref="N84:N89"/>
    <mergeCell ref="O84:O89"/>
    <mergeCell ref="P84:P89"/>
    <mergeCell ref="Q84:Q89"/>
    <mergeCell ref="A90:A91"/>
    <mergeCell ref="B90:B91"/>
    <mergeCell ref="C90:C91"/>
    <mergeCell ref="K90:K91"/>
    <mergeCell ref="L90:L91"/>
    <mergeCell ref="M90:M91"/>
    <mergeCell ref="N90:N91"/>
    <mergeCell ref="O90:O91"/>
    <mergeCell ref="P90:P91"/>
    <mergeCell ref="Q90:Q91"/>
    <mergeCell ref="A92:A94"/>
    <mergeCell ref="B92:B94"/>
    <mergeCell ref="C92:C94"/>
    <mergeCell ref="D92:D93"/>
    <mergeCell ref="E92:E93"/>
    <mergeCell ref="F92:F93"/>
    <mergeCell ref="G92:G93"/>
    <mergeCell ref="H92:H93"/>
    <mergeCell ref="I92:I93"/>
    <mergeCell ref="J92:J93"/>
    <mergeCell ref="K92:K94"/>
    <mergeCell ref="L92:L94"/>
    <mergeCell ref="M92:M94"/>
    <mergeCell ref="N92:N94"/>
    <mergeCell ref="O92:O94"/>
    <mergeCell ref="P92:P94"/>
    <mergeCell ref="Q92:Q94"/>
    <mergeCell ref="A95:A99"/>
    <mergeCell ref="B95:B99"/>
    <mergeCell ref="C95:C99"/>
    <mergeCell ref="K95:K99"/>
    <mergeCell ref="L95:L99"/>
    <mergeCell ref="M95:M99"/>
    <mergeCell ref="J96:J99"/>
    <mergeCell ref="N95:N99"/>
    <mergeCell ref="O95:O99"/>
    <mergeCell ref="P95:P99"/>
    <mergeCell ref="Q95:Q99"/>
    <mergeCell ref="D96:D99"/>
    <mergeCell ref="E96:E99"/>
    <mergeCell ref="F96:F99"/>
    <mergeCell ref="G96:G99"/>
    <mergeCell ref="H96:H99"/>
    <mergeCell ref="I96:I99"/>
    <mergeCell ref="A100:A102"/>
    <mergeCell ref="B100:B102"/>
    <mergeCell ref="C100:C102"/>
    <mergeCell ref="K100:K102"/>
    <mergeCell ref="L100:L102"/>
    <mergeCell ref="M100:M102"/>
    <mergeCell ref="N100:N102"/>
    <mergeCell ref="O100:O102"/>
    <mergeCell ref="P100:P102"/>
    <mergeCell ref="A103:A104"/>
    <mergeCell ref="B103:B104"/>
    <mergeCell ref="C103:C105"/>
    <mergeCell ref="K103:K104"/>
    <mergeCell ref="L103:L104"/>
    <mergeCell ref="M103:M104"/>
    <mergeCell ref="N103:N104"/>
    <mergeCell ref="O103:O104"/>
    <mergeCell ref="P103:P104"/>
    <mergeCell ref="Q103:Q104"/>
    <mergeCell ref="A106:A107"/>
    <mergeCell ref="B106:B107"/>
    <mergeCell ref="C106:C107"/>
    <mergeCell ref="K106:K107"/>
    <mergeCell ref="L106:L107"/>
    <mergeCell ref="M106:M107"/>
    <mergeCell ref="N106:N107"/>
    <mergeCell ref="O106:O107"/>
    <mergeCell ref="P106:P107"/>
    <mergeCell ref="A108:A110"/>
    <mergeCell ref="B108:B110"/>
    <mergeCell ref="C108:C110"/>
    <mergeCell ref="K108:K110"/>
    <mergeCell ref="L108:L110"/>
    <mergeCell ref="M108:M110"/>
    <mergeCell ref="N108:N110"/>
    <mergeCell ref="O108:O110"/>
    <mergeCell ref="P108:P110"/>
    <mergeCell ref="A111:A116"/>
    <mergeCell ref="B111:B116"/>
    <mergeCell ref="C111:C116"/>
    <mergeCell ref="D111:D114"/>
    <mergeCell ref="E111:E114"/>
    <mergeCell ref="F111:F114"/>
    <mergeCell ref="G111:G114"/>
    <mergeCell ref="H111:H114"/>
    <mergeCell ref="I111:I114"/>
    <mergeCell ref="J111:J114"/>
    <mergeCell ref="K111:K116"/>
    <mergeCell ref="L111:L116"/>
    <mergeCell ref="M111:M116"/>
    <mergeCell ref="N111:N116"/>
    <mergeCell ref="O111:O116"/>
    <mergeCell ref="P111:P116"/>
    <mergeCell ref="Q111:Q116"/>
    <mergeCell ref="A117:A119"/>
    <mergeCell ref="B117:B119"/>
    <mergeCell ref="C117:C119"/>
    <mergeCell ref="K117:K119"/>
    <mergeCell ref="L117:L119"/>
    <mergeCell ref="M117:M119"/>
    <mergeCell ref="N117:N119"/>
    <mergeCell ref="O117:O119"/>
    <mergeCell ref="P117:P119"/>
    <mergeCell ref="Q117:Q119"/>
    <mergeCell ref="D118:D119"/>
    <mergeCell ref="E118:E119"/>
    <mergeCell ref="F118:F119"/>
    <mergeCell ref="G118:G119"/>
    <mergeCell ref="H118:H119"/>
    <mergeCell ref="I118:I119"/>
    <mergeCell ref="J118:J119"/>
    <mergeCell ref="A120:A121"/>
    <mergeCell ref="B120:B121"/>
    <mergeCell ref="C120:C121"/>
    <mergeCell ref="K120:K121"/>
    <mergeCell ref="L120:L121"/>
    <mergeCell ref="M120:M121"/>
    <mergeCell ref="N120:N121"/>
    <mergeCell ref="O120:O121"/>
    <mergeCell ref="P120:P121"/>
    <mergeCell ref="Q120:Q121"/>
    <mergeCell ref="A122:A123"/>
    <mergeCell ref="B122:B123"/>
    <mergeCell ref="C122:C123"/>
    <mergeCell ref="D122:D123"/>
    <mergeCell ref="E122:E123"/>
    <mergeCell ref="F122:F123"/>
    <mergeCell ref="G122:G123"/>
    <mergeCell ref="H122:H123"/>
    <mergeCell ref="I122:I123"/>
    <mergeCell ref="J122:J123"/>
    <mergeCell ref="K122:K123"/>
    <mergeCell ref="L122:L123"/>
    <mergeCell ref="M122:M123"/>
    <mergeCell ref="N122:N123"/>
    <mergeCell ref="O122:O123"/>
    <mergeCell ref="P122:P123"/>
    <mergeCell ref="Q122:Q123"/>
    <mergeCell ref="A124:A125"/>
    <mergeCell ref="B124:B125"/>
    <mergeCell ref="C124:C125"/>
    <mergeCell ref="D124:D125"/>
    <mergeCell ref="E124:E125"/>
    <mergeCell ref="F124:F125"/>
    <mergeCell ref="G124:G125"/>
    <mergeCell ref="H124:H125"/>
    <mergeCell ref="I124:I125"/>
    <mergeCell ref="J124:J125"/>
    <mergeCell ref="K124:K125"/>
    <mergeCell ref="L124:L125"/>
    <mergeCell ref="M124:M125"/>
    <mergeCell ref="N124:N125"/>
    <mergeCell ref="O124:O125"/>
    <mergeCell ref="P124:P125"/>
    <mergeCell ref="Q124:Q125"/>
    <mergeCell ref="A127:A131"/>
    <mergeCell ref="B127:B131"/>
    <mergeCell ref="C127:C131"/>
    <mergeCell ref="D127:D129"/>
    <mergeCell ref="E127:E129"/>
    <mergeCell ref="F127:F129"/>
    <mergeCell ref="G127:G129"/>
    <mergeCell ref="H127:H129"/>
    <mergeCell ref="I127:I129"/>
    <mergeCell ref="J127:J129"/>
    <mergeCell ref="K127:K131"/>
    <mergeCell ref="L127:L131"/>
    <mergeCell ref="M127:M131"/>
    <mergeCell ref="N127:N131"/>
    <mergeCell ref="O127:O131"/>
    <mergeCell ref="P127:P131"/>
    <mergeCell ref="Q127:Q131"/>
    <mergeCell ref="A132:A134"/>
    <mergeCell ref="B132:B134"/>
    <mergeCell ref="C132:C134"/>
    <mergeCell ref="K132:K134"/>
    <mergeCell ref="L132:L134"/>
    <mergeCell ref="M132:M134"/>
    <mergeCell ref="N132:N134"/>
    <mergeCell ref="O132:O134"/>
    <mergeCell ref="P132:P134"/>
    <mergeCell ref="Q132:Q134"/>
    <mergeCell ref="D133:D134"/>
    <mergeCell ref="E133:E134"/>
    <mergeCell ref="F133:F134"/>
    <mergeCell ref="G133:G134"/>
    <mergeCell ref="H133:H134"/>
    <mergeCell ref="I133:I134"/>
    <mergeCell ref="J133:J134"/>
    <mergeCell ref="A135:A139"/>
    <mergeCell ref="B135:B139"/>
    <mergeCell ref="C135:C139"/>
    <mergeCell ref="K135:K139"/>
    <mergeCell ref="D136:D139"/>
    <mergeCell ref="E136:E139"/>
    <mergeCell ref="F136:F139"/>
    <mergeCell ref="G136:G139"/>
    <mergeCell ref="L135:L139"/>
    <mergeCell ref="M135:M139"/>
    <mergeCell ref="N135:N139"/>
    <mergeCell ref="O135:O139"/>
    <mergeCell ref="P135:P139"/>
    <mergeCell ref="Q135:Q139"/>
    <mergeCell ref="H136:H139"/>
    <mergeCell ref="I136:I139"/>
    <mergeCell ref="J136:J139"/>
    <mergeCell ref="A140:A143"/>
    <mergeCell ref="B140:B143"/>
    <mergeCell ref="C140:C143"/>
    <mergeCell ref="E140:E141"/>
    <mergeCell ref="F140:F141"/>
    <mergeCell ref="G140:G141"/>
    <mergeCell ref="H140:H141"/>
    <mergeCell ref="I140:I141"/>
    <mergeCell ref="J140:J141"/>
    <mergeCell ref="K140:K143"/>
    <mergeCell ref="L140:L143"/>
    <mergeCell ref="M140:M143"/>
    <mergeCell ref="N140:N143"/>
    <mergeCell ref="O140:O143"/>
    <mergeCell ref="P140:P143"/>
    <mergeCell ref="Q140:Q143"/>
    <mergeCell ref="B144:Q144"/>
    <mergeCell ref="C145:C148"/>
    <mergeCell ref="K145:K148"/>
    <mergeCell ref="Q145:Q148"/>
    <mergeCell ref="H146:H147"/>
    <mergeCell ref="I146:I147"/>
    <mergeCell ref="J146:J147"/>
    <mergeCell ref="A146:A147"/>
    <mergeCell ref="B146:B147"/>
    <mergeCell ref="D146:D147"/>
    <mergeCell ref="E146:E147"/>
    <mergeCell ref="F146:F147"/>
    <mergeCell ref="G146:G147"/>
    <mergeCell ref="L146:L147"/>
    <mergeCell ref="M146:M147"/>
    <mergeCell ref="N146:N147"/>
    <mergeCell ref="O146:O147"/>
    <mergeCell ref="P146:P147"/>
    <mergeCell ref="A149:A151"/>
    <mergeCell ref="B149:B151"/>
    <mergeCell ref="C149:C151"/>
    <mergeCell ref="K149:K151"/>
    <mergeCell ref="L149:L151"/>
    <mergeCell ref="M149:M151"/>
    <mergeCell ref="N149:N151"/>
    <mergeCell ref="O149:O151"/>
    <mergeCell ref="P149:P151"/>
    <mergeCell ref="Q149:Q151"/>
    <mergeCell ref="A152:A154"/>
    <mergeCell ref="B152:B154"/>
    <mergeCell ref="C152:C154"/>
    <mergeCell ref="D152:D153"/>
    <mergeCell ref="E152:E153"/>
    <mergeCell ref="F152:F153"/>
    <mergeCell ref="G152:G153"/>
    <mergeCell ref="H152:H153"/>
    <mergeCell ref="I152:I153"/>
    <mergeCell ref="J152:J153"/>
    <mergeCell ref="K152:K154"/>
    <mergeCell ref="L152:L154"/>
    <mergeCell ref="M152:M154"/>
    <mergeCell ref="N152:N154"/>
    <mergeCell ref="O152:O154"/>
    <mergeCell ref="P152:P154"/>
    <mergeCell ref="Q152:Q154"/>
    <mergeCell ref="A155:A157"/>
    <mergeCell ref="B155:B157"/>
    <mergeCell ref="C155:C157"/>
    <mergeCell ref="K155:K157"/>
    <mergeCell ref="L155:L157"/>
    <mergeCell ref="M155:M157"/>
    <mergeCell ref="J156:J157"/>
    <mergeCell ref="N155:N157"/>
    <mergeCell ref="O155:O157"/>
    <mergeCell ref="P155:P157"/>
    <mergeCell ref="Q155:Q157"/>
    <mergeCell ref="D156:D157"/>
    <mergeCell ref="E156:E157"/>
    <mergeCell ref="F156:F157"/>
    <mergeCell ref="G156:G157"/>
    <mergeCell ref="H156:H157"/>
    <mergeCell ref="I156:I157"/>
    <mergeCell ref="A158:A160"/>
    <mergeCell ref="B158:B160"/>
    <mergeCell ref="C158:C160"/>
    <mergeCell ref="K158:K160"/>
    <mergeCell ref="L158:L160"/>
    <mergeCell ref="M158:M160"/>
    <mergeCell ref="J159:J160"/>
    <mergeCell ref="N158:N160"/>
    <mergeCell ref="O158:O160"/>
    <mergeCell ref="P158:P160"/>
    <mergeCell ref="Q158:Q160"/>
    <mergeCell ref="D159:D160"/>
    <mergeCell ref="E159:E160"/>
    <mergeCell ref="F159:F160"/>
    <mergeCell ref="G159:G160"/>
    <mergeCell ref="H159:H160"/>
    <mergeCell ref="I159:I160"/>
    <mergeCell ref="A161:A163"/>
    <mergeCell ref="B161:B163"/>
    <mergeCell ref="C161:C163"/>
    <mergeCell ref="K161:K162"/>
    <mergeCell ref="L161:L162"/>
    <mergeCell ref="M161:M162"/>
    <mergeCell ref="J162:J163"/>
    <mergeCell ref="N161:N162"/>
    <mergeCell ref="O161:O162"/>
    <mergeCell ref="P161:P162"/>
    <mergeCell ref="Q161:Q163"/>
    <mergeCell ref="D162:D163"/>
    <mergeCell ref="E162:E163"/>
    <mergeCell ref="F162:F163"/>
    <mergeCell ref="G162:G163"/>
    <mergeCell ref="H162:H163"/>
    <mergeCell ref="I162:I163"/>
    <mergeCell ref="M164:M167"/>
    <mergeCell ref="A164:A167"/>
    <mergeCell ref="B164:B167"/>
    <mergeCell ref="C164:C167"/>
    <mergeCell ref="E164:E165"/>
    <mergeCell ref="F164:F165"/>
    <mergeCell ref="G164:G165"/>
    <mergeCell ref="F168:F169"/>
    <mergeCell ref="H164:H165"/>
    <mergeCell ref="I164:I165"/>
    <mergeCell ref="J164:J165"/>
    <mergeCell ref="K164:K167"/>
    <mergeCell ref="L164:L167"/>
    <mergeCell ref="L168:L171"/>
    <mergeCell ref="N164:N167"/>
    <mergeCell ref="O164:O167"/>
    <mergeCell ref="P164:P167"/>
    <mergeCell ref="Q164:Q167"/>
    <mergeCell ref="A168:A171"/>
    <mergeCell ref="B168:B171"/>
    <mergeCell ref="C168:C171"/>
    <mergeCell ref="D168:D169"/>
    <mergeCell ref="E168:E169"/>
    <mergeCell ref="M168:M171"/>
    <mergeCell ref="N168:N171"/>
    <mergeCell ref="O168:O171"/>
    <mergeCell ref="P168:P171"/>
    <mergeCell ref="Q168:Q171"/>
    <mergeCell ref="G168:G169"/>
    <mergeCell ref="H168:H169"/>
    <mergeCell ref="I168:I169"/>
    <mergeCell ref="J168:J169"/>
    <mergeCell ref="K168:K171"/>
  </mergeCells>
  <printOptions horizontalCentered="1"/>
  <pageMargins left="0.2362204724409449" right="0.2362204724409449" top="0.7480314960629921" bottom="0.7480314960629921" header="0.31496062992125984" footer="0.31496062992125984"/>
  <pageSetup fitToHeight="5" horizontalDpi="600" verticalDpi="600" orientation="landscape" paperSize="9" scale="85" r:id="rId1"/>
  <ignoredErrors>
    <ignoredError sqref="L17:P21 L9:P11 L27:P31 L76:P78 L73:P75 L62:P63 L56:P61 L84:P99 L100:P104 L111:P119 L106:P110 L122:P126 L127:P134 L135:P139 L145:P145 L149:P151 L155:P162 L152:P154 L163:P163" numberStoredAsText="1"/>
    <ignoredError sqref="F45:J45 F145" formulaRange="1"/>
    <ignoredError sqref="E45" formula="1" formulaRange="1"/>
    <ignoredError sqref="E48 G82 G107:J107 E106 E108 G170 F7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Q45"/>
  <sheetViews>
    <sheetView zoomScaleSheetLayoutView="100" workbookViewId="0" topLeftCell="A1">
      <pane ySplit="7" topLeftCell="A11" activePane="bottomLeft" state="frozen"/>
      <selection pane="topLeft" activeCell="A1" sqref="A1"/>
      <selection pane="bottomLeft" activeCell="R3" sqref="R3"/>
    </sheetView>
  </sheetViews>
  <sheetFormatPr defaultColWidth="19.7109375" defaultRowHeight="18.75" customHeight="1"/>
  <cols>
    <col min="1" max="1" width="6.28125" style="2" customWidth="1"/>
    <col min="2" max="2" width="24.7109375" style="1" customWidth="1"/>
    <col min="3" max="3" width="8.421875" style="1" customWidth="1"/>
    <col min="4" max="4" width="8.00390625" style="1" customWidth="1"/>
    <col min="5" max="5" width="8.28125" style="3" customWidth="1"/>
    <col min="6" max="6" width="7.28125" style="3" customWidth="1"/>
    <col min="7" max="7" width="8.140625" style="3" customWidth="1"/>
    <col min="8" max="10" width="8.28125" style="3" customWidth="1"/>
    <col min="11" max="11" width="16.8515625" style="4" customWidth="1"/>
    <col min="12" max="16" width="5.00390625" style="3" customWidth="1"/>
    <col min="17" max="17" width="21.8515625" style="1" customWidth="1"/>
    <col min="18" max="16384" width="19.7109375" style="1" customWidth="1"/>
  </cols>
  <sheetData>
    <row r="1" spans="1:17" ht="61.5" customHeight="1">
      <c r="A1" s="45"/>
      <c r="B1" s="31"/>
      <c r="C1" s="31"/>
      <c r="D1" s="31"/>
      <c r="E1" s="46"/>
      <c r="F1" s="46"/>
      <c r="G1" s="46"/>
      <c r="H1" s="592" t="s">
        <v>290</v>
      </c>
      <c r="I1" s="592"/>
      <c r="J1" s="592"/>
      <c r="K1" s="592"/>
      <c r="L1" s="592"/>
      <c r="M1" s="592"/>
      <c r="N1" s="592"/>
      <c r="O1" s="592"/>
      <c r="P1" s="592"/>
      <c r="Q1" s="592"/>
    </row>
    <row r="2" spans="1:17" ht="29.25" customHeight="1">
      <c r="A2" s="593" t="s">
        <v>158</v>
      </c>
      <c r="B2" s="593"/>
      <c r="C2" s="593"/>
      <c r="D2" s="593"/>
      <c r="E2" s="593"/>
      <c r="F2" s="593"/>
      <c r="G2" s="593"/>
      <c r="H2" s="593"/>
      <c r="I2" s="593"/>
      <c r="J2" s="593"/>
      <c r="K2" s="593"/>
      <c r="L2" s="593"/>
      <c r="M2" s="593"/>
      <c r="N2" s="593"/>
      <c r="O2" s="593"/>
      <c r="P2" s="593"/>
      <c r="Q2" s="593"/>
    </row>
    <row r="3" spans="1:17" ht="11.25" customHeight="1">
      <c r="A3" s="45"/>
      <c r="B3" s="31"/>
      <c r="C3" s="31"/>
      <c r="D3" s="31"/>
      <c r="E3" s="46"/>
      <c r="F3" s="46"/>
      <c r="G3" s="46"/>
      <c r="H3" s="46"/>
      <c r="I3" s="46"/>
      <c r="J3" s="46"/>
      <c r="K3" s="47"/>
      <c r="L3" s="46"/>
      <c r="M3" s="46"/>
      <c r="N3" s="46"/>
      <c r="O3" s="46"/>
      <c r="P3" s="46"/>
      <c r="Q3" s="32" t="s">
        <v>7</v>
      </c>
    </row>
    <row r="4" spans="1:17" ht="30" customHeight="1">
      <c r="A4" s="594" t="s">
        <v>16</v>
      </c>
      <c r="B4" s="595" t="s">
        <v>15</v>
      </c>
      <c r="C4" s="594" t="s">
        <v>8</v>
      </c>
      <c r="D4" s="594" t="s">
        <v>9</v>
      </c>
      <c r="E4" s="597" t="s">
        <v>0</v>
      </c>
      <c r="F4" s="598"/>
      <c r="G4" s="598"/>
      <c r="H4" s="598"/>
      <c r="I4" s="598"/>
      <c r="J4" s="599"/>
      <c r="K4" s="597" t="s">
        <v>17</v>
      </c>
      <c r="L4" s="598"/>
      <c r="M4" s="598"/>
      <c r="N4" s="598"/>
      <c r="O4" s="598"/>
      <c r="P4" s="599"/>
      <c r="Q4" s="595" t="s">
        <v>163</v>
      </c>
    </row>
    <row r="5" spans="1:17" ht="13.5" customHeight="1">
      <c r="A5" s="594"/>
      <c r="B5" s="596"/>
      <c r="C5" s="594"/>
      <c r="D5" s="594"/>
      <c r="E5" s="115" t="s">
        <v>1</v>
      </c>
      <c r="F5" s="115" t="s">
        <v>2</v>
      </c>
      <c r="G5" s="115" t="s">
        <v>3</v>
      </c>
      <c r="H5" s="115" t="s">
        <v>57</v>
      </c>
      <c r="I5" s="115" t="s">
        <v>155</v>
      </c>
      <c r="J5" s="115" t="s">
        <v>156</v>
      </c>
      <c r="K5" s="115" t="s">
        <v>4</v>
      </c>
      <c r="L5" s="115">
        <v>2014</v>
      </c>
      <c r="M5" s="115">
        <v>2015</v>
      </c>
      <c r="N5" s="115">
        <v>2016</v>
      </c>
      <c r="O5" s="115">
        <v>2017</v>
      </c>
      <c r="P5" s="115">
        <v>2018</v>
      </c>
      <c r="Q5" s="596"/>
    </row>
    <row r="6" spans="1:17" ht="11.25" customHeight="1">
      <c r="A6" s="107">
        <v>1</v>
      </c>
      <c r="B6" s="107">
        <v>2</v>
      </c>
      <c r="C6" s="107">
        <v>3</v>
      </c>
      <c r="D6" s="107">
        <v>4</v>
      </c>
      <c r="E6" s="107">
        <v>5</v>
      </c>
      <c r="F6" s="107">
        <v>6</v>
      </c>
      <c r="G6" s="107">
        <v>7</v>
      </c>
      <c r="H6" s="107">
        <v>8</v>
      </c>
      <c r="I6" s="107">
        <v>9</v>
      </c>
      <c r="J6" s="107">
        <v>10</v>
      </c>
      <c r="K6" s="107">
        <v>11</v>
      </c>
      <c r="L6" s="107">
        <v>12</v>
      </c>
      <c r="M6" s="107">
        <v>13</v>
      </c>
      <c r="N6" s="107">
        <v>14</v>
      </c>
      <c r="O6" s="107">
        <v>15</v>
      </c>
      <c r="P6" s="107">
        <v>16</v>
      </c>
      <c r="Q6" s="107">
        <v>17</v>
      </c>
    </row>
    <row r="7" spans="1:17" ht="14.25" customHeight="1">
      <c r="A7" s="33"/>
      <c r="B7" s="444" t="s">
        <v>18</v>
      </c>
      <c r="C7" s="444"/>
      <c r="D7" s="444"/>
      <c r="E7" s="444"/>
      <c r="F7" s="444"/>
      <c r="G7" s="444"/>
      <c r="H7" s="444"/>
      <c r="I7" s="444"/>
      <c r="J7" s="444"/>
      <c r="K7" s="444"/>
      <c r="L7" s="444"/>
      <c r="M7" s="444"/>
      <c r="N7" s="444"/>
      <c r="O7" s="444"/>
      <c r="P7" s="444"/>
      <c r="Q7" s="444"/>
    </row>
    <row r="8" spans="1:17" ht="14.25" customHeight="1">
      <c r="A8" s="41" t="s">
        <v>72</v>
      </c>
      <c r="B8" s="613" t="s">
        <v>73</v>
      </c>
      <c r="C8" s="613"/>
      <c r="D8" s="613"/>
      <c r="E8" s="613"/>
      <c r="F8" s="613"/>
      <c r="G8" s="613"/>
      <c r="H8" s="613"/>
      <c r="I8" s="613"/>
      <c r="J8" s="613"/>
      <c r="K8" s="613"/>
      <c r="L8" s="613"/>
      <c r="M8" s="613"/>
      <c r="N8" s="613"/>
      <c r="O8" s="613"/>
      <c r="P8" s="613"/>
      <c r="Q8" s="613"/>
    </row>
    <row r="9" spans="1:17" ht="18.75" customHeight="1">
      <c r="A9" s="610" t="s">
        <v>10</v>
      </c>
      <c r="B9" s="600" t="s">
        <v>198</v>
      </c>
      <c r="C9" s="461" t="s">
        <v>162</v>
      </c>
      <c r="D9" s="170" t="s">
        <v>215</v>
      </c>
      <c r="E9" s="158">
        <f aca="true" t="shared" si="0" ref="E9:J9">SUM(E10:E11)</f>
        <v>66</v>
      </c>
      <c r="F9" s="158">
        <f t="shared" si="0"/>
        <v>14</v>
      </c>
      <c r="G9" s="158">
        <f t="shared" si="0"/>
        <v>10</v>
      </c>
      <c r="H9" s="158">
        <f t="shared" si="0"/>
        <v>14</v>
      </c>
      <c r="I9" s="158">
        <f t="shared" si="0"/>
        <v>14</v>
      </c>
      <c r="J9" s="158">
        <f t="shared" si="0"/>
        <v>14</v>
      </c>
      <c r="K9" s="451" t="s">
        <v>229</v>
      </c>
      <c r="L9" s="187"/>
      <c r="M9" s="187"/>
      <c r="N9" s="187"/>
      <c r="O9" s="187"/>
      <c r="P9" s="187"/>
      <c r="Q9" s="163"/>
    </row>
    <row r="10" spans="1:17" ht="12" customHeight="1">
      <c r="A10" s="611"/>
      <c r="B10" s="601"/>
      <c r="C10" s="566"/>
      <c r="D10" s="461" t="s">
        <v>214</v>
      </c>
      <c r="E10" s="158">
        <f>SUM(F10:J10)</f>
        <v>24</v>
      </c>
      <c r="F10" s="152">
        <v>14</v>
      </c>
      <c r="G10" s="152">
        <v>10</v>
      </c>
      <c r="H10" s="152">
        <v>0</v>
      </c>
      <c r="I10" s="152">
        <v>0</v>
      </c>
      <c r="J10" s="152">
        <v>0</v>
      </c>
      <c r="K10" s="484"/>
      <c r="L10" s="191">
        <v>100</v>
      </c>
      <c r="M10" s="191">
        <v>100</v>
      </c>
      <c r="N10" s="191">
        <v>0</v>
      </c>
      <c r="O10" s="191">
        <v>0</v>
      </c>
      <c r="P10" s="191">
        <v>0</v>
      </c>
      <c r="Q10" s="154" t="s">
        <v>74</v>
      </c>
    </row>
    <row r="11" spans="1:17" ht="24" customHeight="1">
      <c r="A11" s="611"/>
      <c r="B11" s="601"/>
      <c r="C11" s="566"/>
      <c r="D11" s="614"/>
      <c r="E11" s="158">
        <f>SUM(F11:J11)</f>
        <v>42</v>
      </c>
      <c r="F11" s="158">
        <v>0</v>
      </c>
      <c r="G11" s="158">
        <f>10-10</f>
        <v>0</v>
      </c>
      <c r="H11" s="158">
        <v>14</v>
      </c>
      <c r="I11" s="158">
        <v>14</v>
      </c>
      <c r="J11" s="158">
        <v>14</v>
      </c>
      <c r="K11" s="485"/>
      <c r="L11" s="191">
        <v>0</v>
      </c>
      <c r="M11" s="191">
        <v>0</v>
      </c>
      <c r="N11" s="191">
        <v>100</v>
      </c>
      <c r="O11" s="191">
        <v>100</v>
      </c>
      <c r="P11" s="191">
        <v>100</v>
      </c>
      <c r="Q11" s="159" t="s">
        <v>135</v>
      </c>
    </row>
    <row r="12" spans="1:17" ht="18.75" customHeight="1">
      <c r="A12" s="604"/>
      <c r="B12" s="604" t="s">
        <v>23</v>
      </c>
      <c r="C12" s="604"/>
      <c r="D12" s="181" t="s">
        <v>215</v>
      </c>
      <c r="E12" s="178">
        <f aca="true" t="shared" si="1" ref="E12:J12">E9</f>
        <v>66</v>
      </c>
      <c r="F12" s="178">
        <f t="shared" si="1"/>
        <v>14</v>
      </c>
      <c r="G12" s="178">
        <f t="shared" si="1"/>
        <v>10</v>
      </c>
      <c r="H12" s="178">
        <f t="shared" si="1"/>
        <v>14</v>
      </c>
      <c r="I12" s="178">
        <f t="shared" si="1"/>
        <v>14</v>
      </c>
      <c r="J12" s="178">
        <f t="shared" si="1"/>
        <v>14</v>
      </c>
      <c r="K12" s="603"/>
      <c r="L12" s="603"/>
      <c r="M12" s="603"/>
      <c r="N12" s="603"/>
      <c r="O12" s="603"/>
      <c r="P12" s="603"/>
      <c r="Q12" s="603"/>
    </row>
    <row r="13" spans="1:17" ht="9.75" customHeight="1">
      <c r="A13" s="605"/>
      <c r="B13" s="605"/>
      <c r="C13" s="605"/>
      <c r="D13" s="180" t="s">
        <v>5</v>
      </c>
      <c r="E13" s="178">
        <f aca="true" t="shared" si="2" ref="E13:J13">E12</f>
        <v>66</v>
      </c>
      <c r="F13" s="178">
        <f t="shared" si="2"/>
        <v>14</v>
      </c>
      <c r="G13" s="178">
        <f t="shared" si="2"/>
        <v>10</v>
      </c>
      <c r="H13" s="178">
        <f t="shared" si="2"/>
        <v>14</v>
      </c>
      <c r="I13" s="178">
        <f t="shared" si="2"/>
        <v>14</v>
      </c>
      <c r="J13" s="178">
        <f t="shared" si="2"/>
        <v>14</v>
      </c>
      <c r="K13" s="484"/>
      <c r="L13" s="484"/>
      <c r="M13" s="484"/>
      <c r="N13" s="484"/>
      <c r="O13" s="484"/>
      <c r="P13" s="484"/>
      <c r="Q13" s="484"/>
    </row>
    <row r="14" spans="1:17" ht="9" customHeight="1">
      <c r="A14" s="605"/>
      <c r="B14" s="605"/>
      <c r="C14" s="605"/>
      <c r="D14" s="180" t="s">
        <v>6</v>
      </c>
      <c r="E14" s="178">
        <v>0</v>
      </c>
      <c r="F14" s="178">
        <v>0</v>
      </c>
      <c r="G14" s="178">
        <v>0</v>
      </c>
      <c r="H14" s="178">
        <v>0</v>
      </c>
      <c r="I14" s="178">
        <v>0</v>
      </c>
      <c r="J14" s="178">
        <v>0</v>
      </c>
      <c r="K14" s="485"/>
      <c r="L14" s="485"/>
      <c r="M14" s="485"/>
      <c r="N14" s="485"/>
      <c r="O14" s="485"/>
      <c r="P14" s="485"/>
      <c r="Q14" s="485"/>
    </row>
    <row r="15" spans="1:17" ht="13.5" customHeight="1">
      <c r="A15" s="41" t="s">
        <v>24</v>
      </c>
      <c r="B15" s="613" t="s">
        <v>76</v>
      </c>
      <c r="C15" s="613"/>
      <c r="D15" s="613"/>
      <c r="E15" s="613"/>
      <c r="F15" s="613"/>
      <c r="G15" s="613"/>
      <c r="H15" s="613"/>
      <c r="I15" s="613"/>
      <c r="J15" s="613"/>
      <c r="K15" s="613"/>
      <c r="L15" s="613"/>
      <c r="M15" s="613"/>
      <c r="N15" s="613"/>
      <c r="O15" s="613"/>
      <c r="P15" s="613"/>
      <c r="Q15" s="613"/>
    </row>
    <row r="16" spans="1:17" ht="24" customHeight="1">
      <c r="A16" s="610" t="s">
        <v>26</v>
      </c>
      <c r="B16" s="600" t="s">
        <v>200</v>
      </c>
      <c r="C16" s="461" t="s">
        <v>162</v>
      </c>
      <c r="D16" s="170" t="s">
        <v>215</v>
      </c>
      <c r="E16" s="158">
        <f aca="true" t="shared" si="3" ref="E16:J16">SUM(E17:E20)</f>
        <v>273</v>
      </c>
      <c r="F16" s="158">
        <f t="shared" si="3"/>
        <v>57</v>
      </c>
      <c r="G16" s="158">
        <f t="shared" si="3"/>
        <v>45</v>
      </c>
      <c r="H16" s="158">
        <f t="shared" si="3"/>
        <v>57</v>
      </c>
      <c r="I16" s="158">
        <f t="shared" si="3"/>
        <v>57</v>
      </c>
      <c r="J16" s="158">
        <f t="shared" si="3"/>
        <v>57</v>
      </c>
      <c r="K16" s="451" t="s">
        <v>230</v>
      </c>
      <c r="L16" s="187"/>
      <c r="M16" s="187"/>
      <c r="N16" s="187"/>
      <c r="O16" s="187"/>
      <c r="P16" s="187"/>
      <c r="Q16" s="170"/>
    </row>
    <row r="17" spans="1:17" ht="6" customHeight="1">
      <c r="A17" s="611"/>
      <c r="B17" s="601"/>
      <c r="C17" s="566"/>
      <c r="D17" s="461" t="s">
        <v>217</v>
      </c>
      <c r="E17" s="511">
        <f>SUM(F17:J18)</f>
        <v>80</v>
      </c>
      <c r="F17" s="511">
        <v>35</v>
      </c>
      <c r="G17" s="511">
        <v>45</v>
      </c>
      <c r="H17" s="511">
        <v>0</v>
      </c>
      <c r="I17" s="511">
        <v>0</v>
      </c>
      <c r="J17" s="511">
        <v>0</v>
      </c>
      <c r="K17" s="484"/>
      <c r="L17" s="607">
        <v>100</v>
      </c>
      <c r="M17" s="607">
        <v>100</v>
      </c>
      <c r="N17" s="607">
        <v>0</v>
      </c>
      <c r="O17" s="607">
        <v>0</v>
      </c>
      <c r="P17" s="607">
        <v>0</v>
      </c>
      <c r="Q17" s="615" t="s">
        <v>74</v>
      </c>
    </row>
    <row r="18" spans="1:17" ht="6.75" customHeight="1">
      <c r="A18" s="611"/>
      <c r="B18" s="601"/>
      <c r="C18" s="566"/>
      <c r="D18" s="477"/>
      <c r="E18" s="571"/>
      <c r="F18" s="571"/>
      <c r="G18" s="571"/>
      <c r="H18" s="571"/>
      <c r="I18" s="571"/>
      <c r="J18" s="571"/>
      <c r="K18" s="484"/>
      <c r="L18" s="608"/>
      <c r="M18" s="608"/>
      <c r="N18" s="608"/>
      <c r="O18" s="608"/>
      <c r="P18" s="608"/>
      <c r="Q18" s="616"/>
    </row>
    <row r="19" spans="1:17" ht="15" customHeight="1">
      <c r="A19" s="611"/>
      <c r="B19" s="601"/>
      <c r="C19" s="566"/>
      <c r="D19" s="477"/>
      <c r="E19" s="153">
        <f>SUM(F19:J19)</f>
        <v>22</v>
      </c>
      <c r="F19" s="153">
        <v>22</v>
      </c>
      <c r="G19" s="153">
        <v>0</v>
      </c>
      <c r="H19" s="153">
        <v>0</v>
      </c>
      <c r="I19" s="153">
        <v>0</v>
      </c>
      <c r="J19" s="153">
        <v>0</v>
      </c>
      <c r="K19" s="484"/>
      <c r="L19" s="192">
        <v>100</v>
      </c>
      <c r="M19" s="192">
        <v>0</v>
      </c>
      <c r="N19" s="192">
        <v>0</v>
      </c>
      <c r="O19" s="192">
        <v>0</v>
      </c>
      <c r="P19" s="192">
        <v>0</v>
      </c>
      <c r="Q19" s="37" t="s">
        <v>51</v>
      </c>
    </row>
    <row r="20" spans="1:17" ht="22.5" customHeight="1">
      <c r="A20" s="612"/>
      <c r="B20" s="602"/>
      <c r="C20" s="567"/>
      <c r="D20" s="614"/>
      <c r="E20" s="58">
        <f>SUM(F20:J20)</f>
        <v>171</v>
      </c>
      <c r="F20" s="58">
        <v>0</v>
      </c>
      <c r="G20" s="58">
        <f>45-45</f>
        <v>0</v>
      </c>
      <c r="H20" s="58">
        <v>57</v>
      </c>
      <c r="I20" s="109">
        <v>57</v>
      </c>
      <c r="J20" s="109">
        <v>57</v>
      </c>
      <c r="K20" s="485"/>
      <c r="L20" s="192">
        <v>0</v>
      </c>
      <c r="M20" s="192">
        <v>0</v>
      </c>
      <c r="N20" s="192">
        <v>100</v>
      </c>
      <c r="O20" s="192">
        <v>100</v>
      </c>
      <c r="P20" s="192">
        <v>100</v>
      </c>
      <c r="Q20" s="37" t="s">
        <v>135</v>
      </c>
    </row>
    <row r="21" spans="1:17" ht="22.5" customHeight="1">
      <c r="A21" s="604"/>
      <c r="B21" s="604" t="s">
        <v>43</v>
      </c>
      <c r="C21" s="604"/>
      <c r="D21" s="181" t="s">
        <v>215</v>
      </c>
      <c r="E21" s="179">
        <f aca="true" t="shared" si="4" ref="E21:J21">E16</f>
        <v>273</v>
      </c>
      <c r="F21" s="179">
        <f t="shared" si="4"/>
        <v>57</v>
      </c>
      <c r="G21" s="179">
        <f t="shared" si="4"/>
        <v>45</v>
      </c>
      <c r="H21" s="179">
        <f t="shared" si="4"/>
        <v>57</v>
      </c>
      <c r="I21" s="179">
        <f t="shared" si="4"/>
        <v>57</v>
      </c>
      <c r="J21" s="179">
        <f t="shared" si="4"/>
        <v>57</v>
      </c>
      <c r="K21" s="604"/>
      <c r="L21" s="604"/>
      <c r="M21" s="604"/>
      <c r="N21" s="604"/>
      <c r="O21" s="604"/>
      <c r="P21" s="604"/>
      <c r="Q21" s="604"/>
    </row>
    <row r="22" spans="1:17" ht="15" customHeight="1">
      <c r="A22" s="605"/>
      <c r="B22" s="605"/>
      <c r="C22" s="605"/>
      <c r="D22" s="180" t="s">
        <v>5</v>
      </c>
      <c r="E22" s="179">
        <f aca="true" t="shared" si="5" ref="E22:J22">E21</f>
        <v>273</v>
      </c>
      <c r="F22" s="179">
        <f t="shared" si="5"/>
        <v>57</v>
      </c>
      <c r="G22" s="179">
        <f t="shared" si="5"/>
        <v>45</v>
      </c>
      <c r="H22" s="179">
        <f t="shared" si="5"/>
        <v>57</v>
      </c>
      <c r="I22" s="179">
        <f t="shared" si="5"/>
        <v>57</v>
      </c>
      <c r="J22" s="179">
        <f t="shared" si="5"/>
        <v>57</v>
      </c>
      <c r="K22" s="605"/>
      <c r="L22" s="605"/>
      <c r="M22" s="605"/>
      <c r="N22" s="605"/>
      <c r="O22" s="605"/>
      <c r="P22" s="605"/>
      <c r="Q22" s="605"/>
    </row>
    <row r="23" spans="1:17" ht="12" customHeight="1">
      <c r="A23" s="605"/>
      <c r="B23" s="605"/>
      <c r="C23" s="605"/>
      <c r="D23" s="180" t="s">
        <v>6</v>
      </c>
      <c r="E23" s="179">
        <v>0</v>
      </c>
      <c r="F23" s="179">
        <v>0</v>
      </c>
      <c r="G23" s="179">
        <v>0</v>
      </c>
      <c r="H23" s="179">
        <v>0</v>
      </c>
      <c r="I23" s="179">
        <v>0</v>
      </c>
      <c r="J23" s="179">
        <v>0</v>
      </c>
      <c r="K23" s="605"/>
      <c r="L23" s="605"/>
      <c r="M23" s="605"/>
      <c r="N23" s="605"/>
      <c r="O23" s="605"/>
      <c r="P23" s="605"/>
      <c r="Q23" s="605"/>
    </row>
    <row r="24" spans="1:17" ht="12" customHeight="1">
      <c r="A24" s="41" t="s">
        <v>28</v>
      </c>
      <c r="B24" s="613" t="s">
        <v>77</v>
      </c>
      <c r="C24" s="613"/>
      <c r="D24" s="613"/>
      <c r="E24" s="613"/>
      <c r="F24" s="613"/>
      <c r="G24" s="613"/>
      <c r="H24" s="613"/>
      <c r="I24" s="613"/>
      <c r="J24" s="613"/>
      <c r="K24" s="613"/>
      <c r="L24" s="613"/>
      <c r="M24" s="613"/>
      <c r="N24" s="613"/>
      <c r="O24" s="613"/>
      <c r="P24" s="613"/>
      <c r="Q24" s="613"/>
    </row>
    <row r="25" spans="1:17" ht="19.5" customHeight="1">
      <c r="A25" s="610" t="s">
        <v>30</v>
      </c>
      <c r="B25" s="600" t="s">
        <v>199</v>
      </c>
      <c r="C25" s="461" t="s">
        <v>162</v>
      </c>
      <c r="D25" s="170" t="s">
        <v>215</v>
      </c>
      <c r="E25" s="158">
        <f aca="true" t="shared" si="6" ref="E25:J25">SUM(E26:E30)</f>
        <v>120</v>
      </c>
      <c r="F25" s="158">
        <f t="shared" si="6"/>
        <v>24.5</v>
      </c>
      <c r="G25" s="158">
        <f t="shared" si="6"/>
        <v>22</v>
      </c>
      <c r="H25" s="158">
        <f t="shared" si="6"/>
        <v>24.5</v>
      </c>
      <c r="I25" s="158">
        <f t="shared" si="6"/>
        <v>24.5</v>
      </c>
      <c r="J25" s="158">
        <f t="shared" si="6"/>
        <v>24.5</v>
      </c>
      <c r="K25" s="451" t="s">
        <v>231</v>
      </c>
      <c r="L25" s="187"/>
      <c r="M25" s="187"/>
      <c r="N25" s="187"/>
      <c r="O25" s="187"/>
      <c r="P25" s="187"/>
      <c r="Q25" s="170"/>
    </row>
    <row r="26" spans="1:17" ht="8.25" customHeight="1">
      <c r="A26" s="611"/>
      <c r="B26" s="601"/>
      <c r="C26" s="566"/>
      <c r="D26" s="461" t="s">
        <v>218</v>
      </c>
      <c r="E26" s="511">
        <f>SUM(F26:J27)</f>
        <v>32</v>
      </c>
      <c r="F26" s="511">
        <v>10</v>
      </c>
      <c r="G26" s="511">
        <v>22</v>
      </c>
      <c r="H26" s="511">
        <v>0</v>
      </c>
      <c r="I26" s="511">
        <v>0</v>
      </c>
      <c r="J26" s="511">
        <v>0</v>
      </c>
      <c r="K26" s="484"/>
      <c r="L26" s="607">
        <v>100</v>
      </c>
      <c r="M26" s="607">
        <v>100</v>
      </c>
      <c r="N26" s="621">
        <v>0</v>
      </c>
      <c r="O26" s="621">
        <v>0</v>
      </c>
      <c r="P26" s="621">
        <v>0</v>
      </c>
      <c r="Q26" s="615" t="s">
        <v>74</v>
      </c>
    </row>
    <row r="27" spans="1:17" ht="5.25" customHeight="1">
      <c r="A27" s="611"/>
      <c r="B27" s="601"/>
      <c r="C27" s="566"/>
      <c r="D27" s="477"/>
      <c r="E27" s="571"/>
      <c r="F27" s="571"/>
      <c r="G27" s="571"/>
      <c r="H27" s="571"/>
      <c r="I27" s="571"/>
      <c r="J27" s="571"/>
      <c r="K27" s="484"/>
      <c r="L27" s="608"/>
      <c r="M27" s="608"/>
      <c r="N27" s="621"/>
      <c r="O27" s="621"/>
      <c r="P27" s="621"/>
      <c r="Q27" s="616"/>
    </row>
    <row r="28" spans="1:17" ht="13.5" customHeight="1">
      <c r="A28" s="611"/>
      <c r="B28" s="601"/>
      <c r="C28" s="566"/>
      <c r="D28" s="477"/>
      <c r="E28" s="57">
        <f>SUM(F28:J28)</f>
        <v>6</v>
      </c>
      <c r="F28" s="57">
        <v>6</v>
      </c>
      <c r="G28" s="57">
        <v>0</v>
      </c>
      <c r="H28" s="57">
        <v>0</v>
      </c>
      <c r="I28" s="108">
        <v>0</v>
      </c>
      <c r="J28" s="108">
        <v>0</v>
      </c>
      <c r="K28" s="484"/>
      <c r="L28" s="192">
        <v>100</v>
      </c>
      <c r="M28" s="192">
        <v>0</v>
      </c>
      <c r="N28" s="192">
        <v>0</v>
      </c>
      <c r="O28" s="192">
        <v>0</v>
      </c>
      <c r="P28" s="192">
        <v>0</v>
      </c>
      <c r="Q28" s="134" t="s">
        <v>137</v>
      </c>
    </row>
    <row r="29" spans="1:17" ht="13.5" customHeight="1">
      <c r="A29" s="611"/>
      <c r="B29" s="601"/>
      <c r="C29" s="566"/>
      <c r="D29" s="477"/>
      <c r="E29" s="152">
        <f>SUM(F29:J29)</f>
        <v>8.5</v>
      </c>
      <c r="F29" s="152">
        <v>8.5</v>
      </c>
      <c r="G29" s="152">
        <v>0</v>
      </c>
      <c r="H29" s="152">
        <v>0</v>
      </c>
      <c r="I29" s="152">
        <v>0</v>
      </c>
      <c r="J29" s="152">
        <v>0</v>
      </c>
      <c r="K29" s="484"/>
      <c r="L29" s="192">
        <v>100</v>
      </c>
      <c r="M29" s="192">
        <v>0</v>
      </c>
      <c r="N29" s="192">
        <v>0</v>
      </c>
      <c r="O29" s="192">
        <v>0</v>
      </c>
      <c r="P29" s="192">
        <v>0</v>
      </c>
      <c r="Q29" s="155" t="s">
        <v>51</v>
      </c>
    </row>
    <row r="30" spans="1:17" ht="21" customHeight="1">
      <c r="A30" s="612"/>
      <c r="B30" s="602"/>
      <c r="C30" s="567"/>
      <c r="D30" s="614"/>
      <c r="E30" s="108">
        <f>SUM(F30:J30)</f>
        <v>73.5</v>
      </c>
      <c r="F30" s="57">
        <v>0</v>
      </c>
      <c r="G30" s="57">
        <f>22-22</f>
        <v>0</v>
      </c>
      <c r="H30" s="57">
        <v>24.5</v>
      </c>
      <c r="I30" s="108">
        <v>24.5</v>
      </c>
      <c r="J30" s="108">
        <v>24.5</v>
      </c>
      <c r="K30" s="485"/>
      <c r="L30" s="192">
        <v>0</v>
      </c>
      <c r="M30" s="192">
        <v>0</v>
      </c>
      <c r="N30" s="192">
        <v>100</v>
      </c>
      <c r="O30" s="192">
        <v>100</v>
      </c>
      <c r="P30" s="192">
        <v>100</v>
      </c>
      <c r="Q30" s="37" t="s">
        <v>135</v>
      </c>
    </row>
    <row r="31" spans="1:17" ht="21" customHeight="1">
      <c r="A31" s="604"/>
      <c r="B31" s="604" t="s">
        <v>33</v>
      </c>
      <c r="C31" s="604"/>
      <c r="D31" s="181" t="s">
        <v>215</v>
      </c>
      <c r="E31" s="178">
        <f aca="true" t="shared" si="7" ref="E31:J31">E25</f>
        <v>120</v>
      </c>
      <c r="F31" s="178">
        <f t="shared" si="7"/>
        <v>24.5</v>
      </c>
      <c r="G31" s="178">
        <f t="shared" si="7"/>
        <v>22</v>
      </c>
      <c r="H31" s="178">
        <f t="shared" si="7"/>
        <v>24.5</v>
      </c>
      <c r="I31" s="178">
        <f t="shared" si="7"/>
        <v>24.5</v>
      </c>
      <c r="J31" s="178">
        <f t="shared" si="7"/>
        <v>24.5</v>
      </c>
      <c r="K31" s="604"/>
      <c r="L31" s="604"/>
      <c r="M31" s="604"/>
      <c r="N31" s="604"/>
      <c r="O31" s="604"/>
      <c r="P31" s="604"/>
      <c r="Q31" s="604"/>
    </row>
    <row r="32" spans="1:17" ht="10.5" customHeight="1">
      <c r="A32" s="605"/>
      <c r="B32" s="605"/>
      <c r="C32" s="605"/>
      <c r="D32" s="180" t="s">
        <v>5</v>
      </c>
      <c r="E32" s="178">
        <f aca="true" t="shared" si="8" ref="E32:J32">E31</f>
        <v>120</v>
      </c>
      <c r="F32" s="178">
        <f t="shared" si="8"/>
        <v>24.5</v>
      </c>
      <c r="G32" s="178">
        <f t="shared" si="8"/>
        <v>22</v>
      </c>
      <c r="H32" s="178">
        <f t="shared" si="8"/>
        <v>24.5</v>
      </c>
      <c r="I32" s="178">
        <f t="shared" si="8"/>
        <v>24.5</v>
      </c>
      <c r="J32" s="178">
        <f t="shared" si="8"/>
        <v>24.5</v>
      </c>
      <c r="K32" s="605"/>
      <c r="L32" s="605"/>
      <c r="M32" s="605"/>
      <c r="N32" s="605"/>
      <c r="O32" s="605"/>
      <c r="P32" s="605"/>
      <c r="Q32" s="605"/>
    </row>
    <row r="33" spans="1:17" ht="13.5" customHeight="1">
      <c r="A33" s="605"/>
      <c r="B33" s="605"/>
      <c r="C33" s="605"/>
      <c r="D33" s="180" t="s">
        <v>6</v>
      </c>
      <c r="E33" s="178">
        <v>0</v>
      </c>
      <c r="F33" s="178">
        <v>0</v>
      </c>
      <c r="G33" s="178">
        <v>0</v>
      </c>
      <c r="H33" s="178">
        <v>0</v>
      </c>
      <c r="I33" s="178">
        <v>0</v>
      </c>
      <c r="J33" s="178">
        <v>0</v>
      </c>
      <c r="K33" s="605"/>
      <c r="L33" s="605"/>
      <c r="M33" s="605"/>
      <c r="N33" s="605"/>
      <c r="O33" s="605"/>
      <c r="P33" s="605"/>
      <c r="Q33" s="605"/>
    </row>
    <row r="34" spans="1:17" ht="12.75" customHeight="1">
      <c r="A34" s="41" t="s">
        <v>34</v>
      </c>
      <c r="B34" s="613" t="s">
        <v>78</v>
      </c>
      <c r="C34" s="613"/>
      <c r="D34" s="613"/>
      <c r="E34" s="613"/>
      <c r="F34" s="613"/>
      <c r="G34" s="613"/>
      <c r="H34" s="613"/>
      <c r="I34" s="613"/>
      <c r="J34" s="613"/>
      <c r="K34" s="613"/>
      <c r="L34" s="613"/>
      <c r="M34" s="613"/>
      <c r="N34" s="613"/>
      <c r="O34" s="613"/>
      <c r="P34" s="613"/>
      <c r="Q34" s="613"/>
    </row>
    <row r="35" spans="1:17" ht="23.25" customHeight="1">
      <c r="A35" s="169"/>
      <c r="B35" s="170"/>
      <c r="C35" s="170"/>
      <c r="D35" s="170" t="s">
        <v>215</v>
      </c>
      <c r="E35" s="158">
        <f aca="true" t="shared" si="9" ref="E35:J35">SUM(E36:E39)</f>
        <v>261</v>
      </c>
      <c r="F35" s="158">
        <f t="shared" si="9"/>
        <v>54.5</v>
      </c>
      <c r="G35" s="158">
        <f t="shared" si="9"/>
        <v>43</v>
      </c>
      <c r="H35" s="158">
        <f t="shared" si="9"/>
        <v>54.5</v>
      </c>
      <c r="I35" s="158">
        <f t="shared" si="9"/>
        <v>54.5</v>
      </c>
      <c r="J35" s="158">
        <f t="shared" si="9"/>
        <v>54.5</v>
      </c>
      <c r="K35" s="451" t="s">
        <v>230</v>
      </c>
      <c r="L35" s="187"/>
      <c r="M35" s="187"/>
      <c r="N35" s="187"/>
      <c r="O35" s="187"/>
      <c r="P35" s="187"/>
      <c r="Q35" s="163"/>
    </row>
    <row r="36" spans="1:17" ht="13.5" customHeight="1">
      <c r="A36" s="610" t="s">
        <v>36</v>
      </c>
      <c r="B36" s="600" t="s">
        <v>201</v>
      </c>
      <c r="C36" s="451" t="s">
        <v>162</v>
      </c>
      <c r="D36" s="461" t="s">
        <v>214</v>
      </c>
      <c r="E36" s="162">
        <f>SUM(F36:J36)</f>
        <v>11</v>
      </c>
      <c r="F36" s="162">
        <v>11</v>
      </c>
      <c r="G36" s="162">
        <v>0</v>
      </c>
      <c r="H36" s="162">
        <v>0</v>
      </c>
      <c r="I36" s="162">
        <v>0</v>
      </c>
      <c r="J36" s="162">
        <v>0</v>
      </c>
      <c r="K36" s="484"/>
      <c r="L36" s="192">
        <v>100</v>
      </c>
      <c r="M36" s="192">
        <v>0</v>
      </c>
      <c r="N36" s="192">
        <v>0</v>
      </c>
      <c r="O36" s="192">
        <v>0</v>
      </c>
      <c r="P36" s="192">
        <v>0</v>
      </c>
      <c r="Q36" s="148" t="s">
        <v>51</v>
      </c>
    </row>
    <row r="37" spans="1:17" ht="11.25" customHeight="1">
      <c r="A37" s="620"/>
      <c r="B37" s="618"/>
      <c r="C37" s="452"/>
      <c r="D37" s="477"/>
      <c r="E37" s="162">
        <f>SUM(F37:J37)</f>
        <v>86.5</v>
      </c>
      <c r="F37" s="162">
        <v>43.5</v>
      </c>
      <c r="G37" s="162">
        <v>43</v>
      </c>
      <c r="H37" s="162">
        <v>0</v>
      </c>
      <c r="I37" s="162">
        <v>0</v>
      </c>
      <c r="J37" s="162">
        <v>0</v>
      </c>
      <c r="K37" s="484"/>
      <c r="L37" s="192">
        <v>100</v>
      </c>
      <c r="M37" s="192">
        <v>100</v>
      </c>
      <c r="N37" s="192">
        <v>0</v>
      </c>
      <c r="O37" s="192">
        <v>0</v>
      </c>
      <c r="P37" s="192">
        <v>0</v>
      </c>
      <c r="Q37" s="148" t="s">
        <v>74</v>
      </c>
    </row>
    <row r="38" spans="1:17" ht="8.25" customHeight="1">
      <c r="A38" s="620"/>
      <c r="B38" s="619"/>
      <c r="C38" s="452"/>
      <c r="D38" s="477"/>
      <c r="E38" s="609">
        <f>SUM(F38:J39)</f>
        <v>163.5</v>
      </c>
      <c r="F38" s="609">
        <v>0</v>
      </c>
      <c r="G38" s="609">
        <f>43-43</f>
        <v>0</v>
      </c>
      <c r="H38" s="609">
        <v>54.5</v>
      </c>
      <c r="I38" s="609">
        <v>54.5</v>
      </c>
      <c r="J38" s="609">
        <v>54.5</v>
      </c>
      <c r="K38" s="484"/>
      <c r="L38" s="607">
        <v>0</v>
      </c>
      <c r="M38" s="607">
        <v>0</v>
      </c>
      <c r="N38" s="607">
        <v>100</v>
      </c>
      <c r="O38" s="607">
        <v>100</v>
      </c>
      <c r="P38" s="607">
        <v>100</v>
      </c>
      <c r="Q38" s="615" t="s">
        <v>135</v>
      </c>
    </row>
    <row r="39" spans="1:17" ht="12.75" customHeight="1" thickBot="1">
      <c r="A39" s="620"/>
      <c r="B39" s="619"/>
      <c r="C39" s="452"/>
      <c r="D39" s="617"/>
      <c r="E39" s="609"/>
      <c r="F39" s="609"/>
      <c r="G39" s="609"/>
      <c r="H39" s="609"/>
      <c r="I39" s="609"/>
      <c r="J39" s="609"/>
      <c r="K39" s="485"/>
      <c r="L39" s="608"/>
      <c r="M39" s="608"/>
      <c r="N39" s="608"/>
      <c r="O39" s="608"/>
      <c r="P39" s="608"/>
      <c r="Q39" s="616"/>
    </row>
    <row r="40" spans="1:17" ht="20.25" customHeight="1">
      <c r="A40" s="604"/>
      <c r="B40" s="604" t="s">
        <v>48</v>
      </c>
      <c r="C40" s="604"/>
      <c r="D40" s="181" t="s">
        <v>215</v>
      </c>
      <c r="E40" s="182">
        <f aca="true" t="shared" si="10" ref="E40:J40">E35</f>
        <v>261</v>
      </c>
      <c r="F40" s="182">
        <f t="shared" si="10"/>
        <v>54.5</v>
      </c>
      <c r="G40" s="182">
        <f t="shared" si="10"/>
        <v>43</v>
      </c>
      <c r="H40" s="182">
        <f t="shared" si="10"/>
        <v>54.5</v>
      </c>
      <c r="I40" s="182">
        <f t="shared" si="10"/>
        <v>54.5</v>
      </c>
      <c r="J40" s="182">
        <f t="shared" si="10"/>
        <v>54.5</v>
      </c>
      <c r="K40" s="604"/>
      <c r="L40" s="604"/>
      <c r="M40" s="604"/>
      <c r="N40" s="604"/>
      <c r="O40" s="604"/>
      <c r="P40" s="604"/>
      <c r="Q40" s="604"/>
    </row>
    <row r="41" spans="1:17" ht="15" customHeight="1">
      <c r="A41" s="605"/>
      <c r="B41" s="605"/>
      <c r="C41" s="605"/>
      <c r="D41" s="180" t="s">
        <v>5</v>
      </c>
      <c r="E41" s="182">
        <f aca="true" t="shared" si="11" ref="E41:J41">E40</f>
        <v>261</v>
      </c>
      <c r="F41" s="182">
        <f t="shared" si="11"/>
        <v>54.5</v>
      </c>
      <c r="G41" s="182">
        <f t="shared" si="11"/>
        <v>43</v>
      </c>
      <c r="H41" s="182">
        <f t="shared" si="11"/>
        <v>54.5</v>
      </c>
      <c r="I41" s="182">
        <f t="shared" si="11"/>
        <v>54.5</v>
      </c>
      <c r="J41" s="182">
        <f t="shared" si="11"/>
        <v>54.5</v>
      </c>
      <c r="K41" s="605"/>
      <c r="L41" s="605"/>
      <c r="M41" s="605"/>
      <c r="N41" s="605"/>
      <c r="O41" s="605"/>
      <c r="P41" s="605"/>
      <c r="Q41" s="605"/>
    </row>
    <row r="42" spans="1:17" ht="15" customHeight="1" thickBot="1">
      <c r="A42" s="605"/>
      <c r="B42" s="605"/>
      <c r="C42" s="605"/>
      <c r="D42" s="180" t="s">
        <v>6</v>
      </c>
      <c r="E42" s="182">
        <v>0</v>
      </c>
      <c r="F42" s="182">
        <v>0</v>
      </c>
      <c r="G42" s="182">
        <v>0</v>
      </c>
      <c r="H42" s="182">
        <v>0</v>
      </c>
      <c r="I42" s="182">
        <v>0</v>
      </c>
      <c r="J42" s="182">
        <v>0</v>
      </c>
      <c r="K42" s="605"/>
      <c r="L42" s="605"/>
      <c r="M42" s="605"/>
      <c r="N42" s="605"/>
      <c r="O42" s="605"/>
      <c r="P42" s="605"/>
      <c r="Q42" s="605"/>
    </row>
    <row r="43" spans="1:17" ht="24" customHeight="1">
      <c r="A43" s="426"/>
      <c r="B43" s="434" t="s">
        <v>13</v>
      </c>
      <c r="C43" s="426"/>
      <c r="D43" s="171" t="s">
        <v>219</v>
      </c>
      <c r="E43" s="185">
        <f aca="true" t="shared" si="12" ref="E43:J43">E9+E16+E25+E35</f>
        <v>720</v>
      </c>
      <c r="F43" s="185">
        <f t="shared" si="12"/>
        <v>150</v>
      </c>
      <c r="G43" s="185">
        <f t="shared" si="12"/>
        <v>120</v>
      </c>
      <c r="H43" s="185">
        <f t="shared" si="12"/>
        <v>150</v>
      </c>
      <c r="I43" s="185">
        <f t="shared" si="12"/>
        <v>150</v>
      </c>
      <c r="J43" s="185">
        <f t="shared" si="12"/>
        <v>150</v>
      </c>
      <c r="K43" s="426"/>
      <c r="L43" s="426"/>
      <c r="M43" s="426"/>
      <c r="N43" s="426"/>
      <c r="O43" s="426"/>
      <c r="P43" s="426"/>
      <c r="Q43" s="426"/>
    </row>
    <row r="44" spans="1:17" ht="11.25" customHeight="1">
      <c r="A44" s="606"/>
      <c r="B44" s="606"/>
      <c r="C44" s="606"/>
      <c r="D44" s="186" t="s">
        <v>5</v>
      </c>
      <c r="E44" s="175">
        <f aca="true" t="shared" si="13" ref="E44:J44">E43</f>
        <v>720</v>
      </c>
      <c r="F44" s="175">
        <f t="shared" si="13"/>
        <v>150</v>
      </c>
      <c r="G44" s="175">
        <f t="shared" si="13"/>
        <v>120</v>
      </c>
      <c r="H44" s="175">
        <f t="shared" si="13"/>
        <v>150</v>
      </c>
      <c r="I44" s="175">
        <f t="shared" si="13"/>
        <v>150</v>
      </c>
      <c r="J44" s="175">
        <f t="shared" si="13"/>
        <v>150</v>
      </c>
      <c r="K44" s="606"/>
      <c r="L44" s="606"/>
      <c r="M44" s="606"/>
      <c r="N44" s="606"/>
      <c r="O44" s="606"/>
      <c r="P44" s="606"/>
      <c r="Q44" s="606"/>
    </row>
    <row r="45" spans="1:17" ht="11.25" customHeight="1">
      <c r="A45" s="606"/>
      <c r="B45" s="606"/>
      <c r="C45" s="606"/>
      <c r="D45" s="186" t="s">
        <v>6</v>
      </c>
      <c r="E45" s="176">
        <v>0</v>
      </c>
      <c r="F45" s="176">
        <v>0</v>
      </c>
      <c r="G45" s="176">
        <v>0</v>
      </c>
      <c r="H45" s="176">
        <v>0</v>
      </c>
      <c r="I45" s="176">
        <v>0</v>
      </c>
      <c r="J45" s="176">
        <v>0</v>
      </c>
      <c r="K45" s="606"/>
      <c r="L45" s="606"/>
      <c r="M45" s="606"/>
      <c r="N45" s="606"/>
      <c r="O45" s="606"/>
      <c r="P45" s="606"/>
      <c r="Q45" s="606"/>
    </row>
  </sheetData>
  <sheetProtection/>
  <mergeCells count="120">
    <mergeCell ref="N31:N33"/>
    <mergeCell ref="O17:O18"/>
    <mergeCell ref="P17:P18"/>
    <mergeCell ref="L26:L27"/>
    <mergeCell ref="M26:M27"/>
    <mergeCell ref="N26:N27"/>
    <mergeCell ref="O26:O27"/>
    <mergeCell ref="P26:P27"/>
    <mergeCell ref="G38:G39"/>
    <mergeCell ref="I38:I39"/>
    <mergeCell ref="A36:A39"/>
    <mergeCell ref="Q31:Q33"/>
    <mergeCell ref="B40:B42"/>
    <mergeCell ref="C40:C42"/>
    <mergeCell ref="C36:C39"/>
    <mergeCell ref="E38:E39"/>
    <mergeCell ref="L38:L39"/>
    <mergeCell ref="M38:M39"/>
    <mergeCell ref="A40:A42"/>
    <mergeCell ref="K40:K42"/>
    <mergeCell ref="L40:L42"/>
    <mergeCell ref="M40:M42"/>
    <mergeCell ref="N40:N42"/>
    <mergeCell ref="O40:O42"/>
    <mergeCell ref="Q21:Q23"/>
    <mergeCell ref="A21:A23"/>
    <mergeCell ref="A31:A33"/>
    <mergeCell ref="B31:B33"/>
    <mergeCell ref="C31:C33"/>
    <mergeCell ref="K31:K33"/>
    <mergeCell ref="L31:L33"/>
    <mergeCell ref="M31:M33"/>
    <mergeCell ref="O31:O33"/>
    <mergeCell ref="P31:P33"/>
    <mergeCell ref="K21:K23"/>
    <mergeCell ref="L21:L23"/>
    <mergeCell ref="M21:M23"/>
    <mergeCell ref="N21:N23"/>
    <mergeCell ref="O21:O23"/>
    <mergeCell ref="P21:P23"/>
    <mergeCell ref="B8:Q8"/>
    <mergeCell ref="F26:F27"/>
    <mergeCell ref="F17:F18"/>
    <mergeCell ref="H38:H39"/>
    <mergeCell ref="E17:E18"/>
    <mergeCell ref="B36:B39"/>
    <mergeCell ref="D10:D11"/>
    <mergeCell ref="K25:K30"/>
    <mergeCell ref="K35:K39"/>
    <mergeCell ref="P12:P14"/>
    <mergeCell ref="B9:B11"/>
    <mergeCell ref="C9:C11"/>
    <mergeCell ref="C25:C30"/>
    <mergeCell ref="A43:A45"/>
    <mergeCell ref="C43:C45"/>
    <mergeCell ref="D17:D20"/>
    <mergeCell ref="A9:A11"/>
    <mergeCell ref="D36:D39"/>
    <mergeCell ref="A25:A30"/>
    <mergeCell ref="B25:B30"/>
    <mergeCell ref="E26:E27"/>
    <mergeCell ref="H17:H18"/>
    <mergeCell ref="I26:I27"/>
    <mergeCell ref="B34:Q34"/>
    <mergeCell ref="B24:Q24"/>
    <mergeCell ref="Q17:Q18"/>
    <mergeCell ref="Q26:Q27"/>
    <mergeCell ref="C16:C20"/>
    <mergeCell ref="B21:B23"/>
    <mergeCell ref="C21:C23"/>
    <mergeCell ref="C4:C5"/>
    <mergeCell ref="B7:Q7"/>
    <mergeCell ref="E4:J4"/>
    <mergeCell ref="K4:P4"/>
    <mergeCell ref="F38:F39"/>
    <mergeCell ref="B43:B45"/>
    <mergeCell ref="Q38:Q39"/>
    <mergeCell ref="H26:H27"/>
    <mergeCell ref="Q4:Q5"/>
    <mergeCell ref="B4:B5"/>
    <mergeCell ref="H1:Q1"/>
    <mergeCell ref="G17:G18"/>
    <mergeCell ref="D26:D30"/>
    <mergeCell ref="G26:G27"/>
    <mergeCell ref="A2:Q2"/>
    <mergeCell ref="J26:J27"/>
    <mergeCell ref="D4:D5"/>
    <mergeCell ref="A4:A5"/>
    <mergeCell ref="M17:M18"/>
    <mergeCell ref="M12:M14"/>
    <mergeCell ref="N12:N14"/>
    <mergeCell ref="A16:A20"/>
    <mergeCell ref="B15:Q15"/>
    <mergeCell ref="I17:I18"/>
    <mergeCell ref="J17:J18"/>
    <mergeCell ref="B12:B14"/>
    <mergeCell ref="C12:C14"/>
    <mergeCell ref="K12:K14"/>
    <mergeCell ref="Q12:Q14"/>
    <mergeCell ref="N17:N18"/>
    <mergeCell ref="P43:P45"/>
    <mergeCell ref="Q43:Q45"/>
    <mergeCell ref="J38:J39"/>
    <mergeCell ref="K43:K45"/>
    <mergeCell ref="L43:L45"/>
    <mergeCell ref="P40:P42"/>
    <mergeCell ref="P38:P39"/>
    <mergeCell ref="N38:N39"/>
    <mergeCell ref="O38:O39"/>
    <mergeCell ref="Q40:Q42"/>
    <mergeCell ref="K9:K11"/>
    <mergeCell ref="B16:B20"/>
    <mergeCell ref="O12:O14"/>
    <mergeCell ref="L12:L14"/>
    <mergeCell ref="A12:A14"/>
    <mergeCell ref="M43:M45"/>
    <mergeCell ref="N43:N45"/>
    <mergeCell ref="O43:O45"/>
    <mergeCell ref="K16:K20"/>
    <mergeCell ref="L17:L18"/>
  </mergeCells>
  <printOptions horizontalCentered="1"/>
  <pageMargins left="0.2362204724409449" right="0.2362204724409449" top="0.7480314960629921" bottom="0.7480314960629921" header="0.31496062992125984" footer="0.31496062992125984"/>
  <pageSetup fitToHeight="4" fitToWidth="1" horizontalDpi="600" verticalDpi="6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Q103"/>
  <sheetViews>
    <sheetView zoomScaleSheetLayoutView="100" workbookViewId="0" topLeftCell="A1">
      <pane ySplit="5" topLeftCell="A46" activePane="bottomLeft" state="frozen"/>
      <selection pane="topLeft" activeCell="A1" sqref="A1"/>
      <selection pane="bottomLeft" activeCell="F45" sqref="F45"/>
    </sheetView>
  </sheetViews>
  <sheetFormatPr defaultColWidth="19.7109375" defaultRowHeight="18.75" customHeight="1"/>
  <cols>
    <col min="1" max="1" width="5.28125" style="7" customWidth="1"/>
    <col min="2" max="2" width="28.8515625" style="5" customWidth="1"/>
    <col min="3" max="3" width="5.57421875" style="5" customWidth="1"/>
    <col min="4" max="4" width="8.00390625" style="86" customWidth="1"/>
    <col min="5" max="5" width="8.00390625" style="5" customWidth="1"/>
    <col min="6" max="6" width="7.28125" style="5" customWidth="1"/>
    <col min="7" max="7" width="7.421875" style="5" customWidth="1"/>
    <col min="8" max="10" width="7.8515625" style="5" customWidth="1"/>
    <col min="11" max="11" width="20.57421875" style="5" customWidth="1"/>
    <col min="12" max="12" width="5.28125" style="5" customWidth="1"/>
    <col min="13" max="13" width="4.8515625" style="5" customWidth="1"/>
    <col min="14" max="14" width="4.57421875" style="5" customWidth="1"/>
    <col min="15" max="15" width="5.140625" style="5" customWidth="1"/>
    <col min="16" max="16" width="5.00390625" style="5" customWidth="1"/>
    <col min="17" max="17" width="18.421875" style="27" customWidth="1"/>
    <col min="18" max="16384" width="19.7109375" style="5" customWidth="1"/>
  </cols>
  <sheetData>
    <row r="1" spans="1:17" ht="27.75" customHeight="1">
      <c r="A1" s="48"/>
      <c r="B1" s="49"/>
      <c r="C1" s="49"/>
      <c r="D1" s="80"/>
      <c r="E1" s="49"/>
      <c r="F1" s="49"/>
      <c r="G1" s="49"/>
      <c r="H1" s="592" t="s">
        <v>300</v>
      </c>
      <c r="I1" s="592"/>
      <c r="J1" s="592"/>
      <c r="K1" s="592"/>
      <c r="L1" s="592"/>
      <c r="M1" s="592"/>
      <c r="N1" s="592"/>
      <c r="O1" s="592"/>
      <c r="P1" s="592"/>
      <c r="Q1" s="592"/>
    </row>
    <row r="2" spans="1:17" ht="27" customHeight="1">
      <c r="A2" s="593" t="s">
        <v>159</v>
      </c>
      <c r="B2" s="593"/>
      <c r="C2" s="593"/>
      <c r="D2" s="593"/>
      <c r="E2" s="593"/>
      <c r="F2" s="593"/>
      <c r="G2" s="593"/>
      <c r="H2" s="593"/>
      <c r="I2" s="593"/>
      <c r="J2" s="593"/>
      <c r="K2" s="593"/>
      <c r="L2" s="593"/>
      <c r="M2" s="593"/>
      <c r="N2" s="593"/>
      <c r="O2" s="593"/>
      <c r="P2" s="593"/>
      <c r="Q2" s="593"/>
    </row>
    <row r="3" spans="1:17" ht="10.5" customHeight="1">
      <c r="A3" s="48"/>
      <c r="B3" s="49"/>
      <c r="C3" s="49"/>
      <c r="D3" s="80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50" t="s">
        <v>7</v>
      </c>
    </row>
    <row r="4" spans="1:17" ht="42.75" customHeight="1">
      <c r="A4" s="594" t="s">
        <v>16</v>
      </c>
      <c r="B4" s="595" t="s">
        <v>15</v>
      </c>
      <c r="C4" s="594" t="s">
        <v>8</v>
      </c>
      <c r="D4" s="594" t="s">
        <v>9</v>
      </c>
      <c r="E4" s="597" t="s">
        <v>0</v>
      </c>
      <c r="F4" s="598"/>
      <c r="G4" s="598"/>
      <c r="H4" s="598"/>
      <c r="I4" s="598"/>
      <c r="J4" s="599"/>
      <c r="K4" s="597" t="s">
        <v>17</v>
      </c>
      <c r="L4" s="598"/>
      <c r="M4" s="598"/>
      <c r="N4" s="598"/>
      <c r="O4" s="598"/>
      <c r="P4" s="599"/>
      <c r="Q4" s="595" t="s">
        <v>14</v>
      </c>
    </row>
    <row r="5" spans="1:17" ht="12" customHeight="1">
      <c r="A5" s="594"/>
      <c r="B5" s="596"/>
      <c r="C5" s="594"/>
      <c r="D5" s="594"/>
      <c r="E5" s="115" t="s">
        <v>1</v>
      </c>
      <c r="F5" s="115" t="s">
        <v>2</v>
      </c>
      <c r="G5" s="115" t="s">
        <v>3</v>
      </c>
      <c r="H5" s="115" t="s">
        <v>57</v>
      </c>
      <c r="I5" s="115" t="s">
        <v>155</v>
      </c>
      <c r="J5" s="115" t="s">
        <v>156</v>
      </c>
      <c r="K5" s="115" t="s">
        <v>4</v>
      </c>
      <c r="L5" s="115">
        <v>2014</v>
      </c>
      <c r="M5" s="115">
        <v>2015</v>
      </c>
      <c r="N5" s="115">
        <v>2016</v>
      </c>
      <c r="O5" s="115">
        <v>2017</v>
      </c>
      <c r="P5" s="115">
        <v>2018</v>
      </c>
      <c r="Q5" s="596"/>
    </row>
    <row r="6" spans="1:17" ht="11.25" customHeight="1">
      <c r="A6" s="107">
        <v>1</v>
      </c>
      <c r="B6" s="107">
        <v>2</v>
      </c>
      <c r="C6" s="107">
        <v>3</v>
      </c>
      <c r="D6" s="107">
        <v>4</v>
      </c>
      <c r="E6" s="107">
        <v>5</v>
      </c>
      <c r="F6" s="107">
        <v>6</v>
      </c>
      <c r="G6" s="107">
        <v>7</v>
      </c>
      <c r="H6" s="107">
        <v>8</v>
      </c>
      <c r="I6" s="107">
        <v>9</v>
      </c>
      <c r="J6" s="107">
        <v>10</v>
      </c>
      <c r="K6" s="107">
        <v>11</v>
      </c>
      <c r="L6" s="107">
        <v>12</v>
      </c>
      <c r="M6" s="107">
        <v>13</v>
      </c>
      <c r="N6" s="107">
        <v>14</v>
      </c>
      <c r="O6" s="107">
        <v>15</v>
      </c>
      <c r="P6" s="107">
        <v>16</v>
      </c>
      <c r="Q6" s="107">
        <v>17</v>
      </c>
    </row>
    <row r="7" spans="1:17" ht="12.75" customHeight="1">
      <c r="A7" s="19"/>
      <c r="B7" s="444" t="s">
        <v>20</v>
      </c>
      <c r="C7" s="444"/>
      <c r="D7" s="444"/>
      <c r="E7" s="444"/>
      <c r="F7" s="444"/>
      <c r="G7" s="444"/>
      <c r="H7" s="444"/>
      <c r="I7" s="444"/>
      <c r="J7" s="444"/>
      <c r="K7" s="444"/>
      <c r="L7" s="444"/>
      <c r="M7" s="444"/>
      <c r="N7" s="444"/>
      <c r="O7" s="444"/>
      <c r="P7" s="444"/>
      <c r="Q7" s="444"/>
    </row>
    <row r="8" spans="1:17" ht="21" customHeight="1">
      <c r="A8" s="53">
        <v>1</v>
      </c>
      <c r="B8" s="434" t="s">
        <v>21</v>
      </c>
      <c r="C8" s="434"/>
      <c r="D8" s="434"/>
      <c r="E8" s="434"/>
      <c r="F8" s="434"/>
      <c r="G8" s="434"/>
      <c r="H8" s="434"/>
      <c r="I8" s="434"/>
      <c r="J8" s="434"/>
      <c r="K8" s="434"/>
      <c r="L8" s="434"/>
      <c r="M8" s="434"/>
      <c r="N8" s="434"/>
      <c r="O8" s="434"/>
      <c r="P8" s="434"/>
      <c r="Q8" s="434"/>
    </row>
    <row r="9" spans="1:17" ht="21" customHeight="1">
      <c r="A9" s="509" t="s">
        <v>19</v>
      </c>
      <c r="B9" s="643" t="s">
        <v>125</v>
      </c>
      <c r="C9" s="486" t="s">
        <v>161</v>
      </c>
      <c r="D9" s="170" t="s">
        <v>215</v>
      </c>
      <c r="E9" s="371">
        <f aca="true" t="shared" si="0" ref="E9:J9">E10</f>
        <v>1357.9</v>
      </c>
      <c r="F9" s="371">
        <f t="shared" si="0"/>
        <v>248.6</v>
      </c>
      <c r="G9" s="371">
        <f t="shared" si="0"/>
        <v>248.6</v>
      </c>
      <c r="H9" s="371">
        <f t="shared" si="0"/>
        <v>278.3</v>
      </c>
      <c r="I9" s="371">
        <f t="shared" si="0"/>
        <v>291.2</v>
      </c>
      <c r="J9" s="371">
        <f t="shared" si="0"/>
        <v>291.2</v>
      </c>
      <c r="K9" s="177"/>
      <c r="L9" s="177"/>
      <c r="M9" s="177"/>
      <c r="N9" s="177"/>
      <c r="O9" s="177"/>
      <c r="P9" s="177"/>
      <c r="Q9" s="177"/>
    </row>
    <row r="10" spans="1:17" s="6" customFormat="1" ht="33" customHeight="1">
      <c r="A10" s="644"/>
      <c r="B10" s="642"/>
      <c r="C10" s="642"/>
      <c r="D10" s="480" t="s">
        <v>6</v>
      </c>
      <c r="E10" s="453">
        <f>SUM(F10:J11)</f>
        <v>1357.9</v>
      </c>
      <c r="F10" s="453">
        <v>248.6</v>
      </c>
      <c r="G10" s="453">
        <v>248.6</v>
      </c>
      <c r="H10" s="499">
        <f>248.6+29.7</f>
        <v>278.3</v>
      </c>
      <c r="I10" s="499">
        <f>248.6+42.6</f>
        <v>291.2</v>
      </c>
      <c r="J10" s="499">
        <f>248.6+42.6</f>
        <v>291.2</v>
      </c>
      <c r="K10" s="62" t="s">
        <v>232</v>
      </c>
      <c r="L10" s="190">
        <v>45</v>
      </c>
      <c r="M10" s="190">
        <v>45</v>
      </c>
      <c r="N10" s="190">
        <v>45</v>
      </c>
      <c r="O10" s="190">
        <v>45</v>
      </c>
      <c r="P10" s="190">
        <v>45</v>
      </c>
      <c r="Q10" s="486" t="s">
        <v>51</v>
      </c>
    </row>
    <row r="11" spans="1:17" s="6" customFormat="1" ht="35.25" customHeight="1">
      <c r="A11" s="644"/>
      <c r="B11" s="642"/>
      <c r="C11" s="642"/>
      <c r="D11" s="543"/>
      <c r="E11" s="469"/>
      <c r="F11" s="469"/>
      <c r="G11" s="469"/>
      <c r="H11" s="512"/>
      <c r="I11" s="512"/>
      <c r="J11" s="512"/>
      <c r="K11" s="62" t="s">
        <v>233</v>
      </c>
      <c r="L11" s="190">
        <v>20</v>
      </c>
      <c r="M11" s="190">
        <v>20</v>
      </c>
      <c r="N11" s="190">
        <v>20</v>
      </c>
      <c r="O11" s="190">
        <v>20</v>
      </c>
      <c r="P11" s="190">
        <v>20</v>
      </c>
      <c r="Q11" s="486"/>
    </row>
    <row r="12" spans="1:17" s="6" customFormat="1" ht="24" customHeight="1">
      <c r="A12" s="509" t="s">
        <v>22</v>
      </c>
      <c r="B12" s="643" t="s">
        <v>126</v>
      </c>
      <c r="C12" s="486" t="s">
        <v>161</v>
      </c>
      <c r="D12" s="170" t="s">
        <v>215</v>
      </c>
      <c r="E12" s="341">
        <f aca="true" t="shared" si="1" ref="E12:J12">E13</f>
        <v>455.3</v>
      </c>
      <c r="F12" s="341">
        <f t="shared" si="1"/>
        <v>51.3</v>
      </c>
      <c r="G12" s="341">
        <f t="shared" si="1"/>
        <v>104</v>
      </c>
      <c r="H12" s="341">
        <f t="shared" si="1"/>
        <v>100</v>
      </c>
      <c r="I12" s="341">
        <f t="shared" si="1"/>
        <v>100</v>
      </c>
      <c r="J12" s="341">
        <f t="shared" si="1"/>
        <v>100</v>
      </c>
      <c r="K12" s="164"/>
      <c r="L12" s="165"/>
      <c r="M12" s="165"/>
      <c r="N12" s="165"/>
      <c r="O12" s="165"/>
      <c r="P12" s="165"/>
      <c r="Q12" s="166"/>
    </row>
    <row r="13" spans="1:17" s="6" customFormat="1" ht="15.75" customHeight="1">
      <c r="A13" s="510"/>
      <c r="B13" s="504"/>
      <c r="C13" s="487"/>
      <c r="D13" s="480" t="s">
        <v>5</v>
      </c>
      <c r="E13" s="453">
        <f>SUM(F13:J16)</f>
        <v>455.3</v>
      </c>
      <c r="F13" s="453">
        <v>51.3</v>
      </c>
      <c r="G13" s="499">
        <f>100+4</f>
        <v>104</v>
      </c>
      <c r="H13" s="453">
        <v>100</v>
      </c>
      <c r="I13" s="453">
        <v>100</v>
      </c>
      <c r="J13" s="453">
        <v>100</v>
      </c>
      <c r="K13" s="488" t="s">
        <v>234</v>
      </c>
      <c r="L13" s="455" t="s">
        <v>236</v>
      </c>
      <c r="M13" s="455" t="s">
        <v>236</v>
      </c>
      <c r="N13" s="455" t="s">
        <v>236</v>
      </c>
      <c r="O13" s="455" t="s">
        <v>236</v>
      </c>
      <c r="P13" s="455" t="s">
        <v>236</v>
      </c>
      <c r="Q13" s="586" t="s">
        <v>127</v>
      </c>
    </row>
    <row r="14" spans="1:17" s="6" customFormat="1" ht="6" customHeight="1">
      <c r="A14" s="510"/>
      <c r="B14" s="504"/>
      <c r="C14" s="487"/>
      <c r="D14" s="543"/>
      <c r="E14" s="454"/>
      <c r="F14" s="454"/>
      <c r="G14" s="536"/>
      <c r="H14" s="454"/>
      <c r="I14" s="454"/>
      <c r="J14" s="454"/>
      <c r="K14" s="649"/>
      <c r="L14" s="529"/>
      <c r="M14" s="529"/>
      <c r="N14" s="529"/>
      <c r="O14" s="529"/>
      <c r="P14" s="529"/>
      <c r="Q14" s="647"/>
    </row>
    <row r="15" spans="1:17" s="6" customFormat="1" ht="6.75" customHeight="1">
      <c r="A15" s="510"/>
      <c r="B15" s="504"/>
      <c r="C15" s="487"/>
      <c r="D15" s="543"/>
      <c r="E15" s="454"/>
      <c r="F15" s="454"/>
      <c r="G15" s="536"/>
      <c r="H15" s="454"/>
      <c r="I15" s="454"/>
      <c r="J15" s="454"/>
      <c r="K15" s="488" t="s">
        <v>235</v>
      </c>
      <c r="L15" s="455" t="s">
        <v>236</v>
      </c>
      <c r="M15" s="455" t="s">
        <v>236</v>
      </c>
      <c r="N15" s="455" t="s">
        <v>236</v>
      </c>
      <c r="O15" s="455" t="s">
        <v>236</v>
      </c>
      <c r="P15" s="455" t="s">
        <v>236</v>
      </c>
      <c r="Q15" s="647"/>
    </row>
    <row r="16" spans="1:17" s="6" customFormat="1" ht="18" customHeight="1" thickBot="1">
      <c r="A16" s="510"/>
      <c r="B16" s="504"/>
      <c r="C16" s="487"/>
      <c r="D16" s="543"/>
      <c r="E16" s="454"/>
      <c r="F16" s="454"/>
      <c r="G16" s="536"/>
      <c r="H16" s="454"/>
      <c r="I16" s="454"/>
      <c r="J16" s="454"/>
      <c r="K16" s="649"/>
      <c r="L16" s="529"/>
      <c r="M16" s="529"/>
      <c r="N16" s="529"/>
      <c r="O16" s="529"/>
      <c r="P16" s="529"/>
      <c r="Q16" s="648"/>
    </row>
    <row r="17" spans="1:17" s="1" customFormat="1" ht="12.75" customHeight="1">
      <c r="A17" s="426"/>
      <c r="B17" s="444" t="s">
        <v>23</v>
      </c>
      <c r="C17" s="433"/>
      <c r="D17" s="120" t="s">
        <v>11</v>
      </c>
      <c r="E17" s="645">
        <f>SUM(F17:J18)</f>
        <v>1813.2</v>
      </c>
      <c r="F17" s="645">
        <f>SUM(F19:F20)</f>
        <v>299.9</v>
      </c>
      <c r="G17" s="654">
        <f>SUM(G19:G20)</f>
        <v>352.6</v>
      </c>
      <c r="H17" s="645">
        <f>SUM(H19:H20)</f>
        <v>378.3</v>
      </c>
      <c r="I17" s="645">
        <f>SUM(I19:I20)</f>
        <v>391.2</v>
      </c>
      <c r="J17" s="656">
        <f>SUM(J19:J20)</f>
        <v>391.2</v>
      </c>
      <c r="K17" s="640"/>
      <c r="L17" s="426"/>
      <c r="M17" s="426"/>
      <c r="N17" s="426"/>
      <c r="O17" s="426"/>
      <c r="P17" s="426"/>
      <c r="Q17" s="486"/>
    </row>
    <row r="18" spans="1:17" s="1" customFormat="1" ht="9.75" customHeight="1">
      <c r="A18" s="426"/>
      <c r="B18" s="444"/>
      <c r="C18" s="433"/>
      <c r="D18" s="121" t="s">
        <v>12</v>
      </c>
      <c r="E18" s="646"/>
      <c r="F18" s="646"/>
      <c r="G18" s="655"/>
      <c r="H18" s="646"/>
      <c r="I18" s="646"/>
      <c r="J18" s="657"/>
      <c r="K18" s="640"/>
      <c r="L18" s="426"/>
      <c r="M18" s="426"/>
      <c r="N18" s="426"/>
      <c r="O18" s="426"/>
      <c r="P18" s="426"/>
      <c r="Q18" s="486"/>
    </row>
    <row r="19" spans="1:17" s="1" customFormat="1" ht="13.5" customHeight="1">
      <c r="A19" s="426"/>
      <c r="B19" s="444"/>
      <c r="C19" s="433"/>
      <c r="D19" s="122" t="s">
        <v>5</v>
      </c>
      <c r="E19" s="111">
        <f>SUM(F19:J19)</f>
        <v>455.3</v>
      </c>
      <c r="F19" s="111">
        <f>SUM(F13)</f>
        <v>51.3</v>
      </c>
      <c r="G19" s="307">
        <f>SUM(G13)</f>
        <v>104</v>
      </c>
      <c r="H19" s="111">
        <f>SUM(H13)</f>
        <v>100</v>
      </c>
      <c r="I19" s="111">
        <f>SUM(I13)</f>
        <v>100</v>
      </c>
      <c r="J19" s="123">
        <f>SUM(J13)</f>
        <v>100</v>
      </c>
      <c r="K19" s="640"/>
      <c r="L19" s="426"/>
      <c r="M19" s="426"/>
      <c r="N19" s="426"/>
      <c r="O19" s="426"/>
      <c r="P19" s="426"/>
      <c r="Q19" s="486"/>
    </row>
    <row r="20" spans="1:17" s="1" customFormat="1" ht="12.75" customHeight="1" thickBot="1">
      <c r="A20" s="426"/>
      <c r="B20" s="444"/>
      <c r="C20" s="433"/>
      <c r="D20" s="124" t="s">
        <v>6</v>
      </c>
      <c r="E20" s="125">
        <f>SUM(F20:J20)</f>
        <v>1357.9</v>
      </c>
      <c r="F20" s="125">
        <f>SUM(F10)</f>
        <v>248.6</v>
      </c>
      <c r="G20" s="125">
        <f>SUM(G10)</f>
        <v>248.6</v>
      </c>
      <c r="H20" s="308">
        <f>SUM(H10)</f>
        <v>278.3</v>
      </c>
      <c r="I20" s="308">
        <f>SUM(I10)</f>
        <v>291.2</v>
      </c>
      <c r="J20" s="309">
        <f>SUM(J10)</f>
        <v>291.2</v>
      </c>
      <c r="K20" s="640"/>
      <c r="L20" s="426"/>
      <c r="M20" s="426"/>
      <c r="N20" s="426"/>
      <c r="O20" s="426"/>
      <c r="P20" s="426"/>
      <c r="Q20" s="486"/>
    </row>
    <row r="21" spans="1:17" s="6" customFormat="1" ht="12" customHeight="1">
      <c r="A21" s="20" t="s">
        <v>24</v>
      </c>
      <c r="B21" s="650" t="s">
        <v>25</v>
      </c>
      <c r="C21" s="651"/>
      <c r="D21" s="652"/>
      <c r="E21" s="652"/>
      <c r="F21" s="652"/>
      <c r="G21" s="652"/>
      <c r="H21" s="652"/>
      <c r="I21" s="652"/>
      <c r="J21" s="652"/>
      <c r="K21" s="651"/>
      <c r="L21" s="651"/>
      <c r="M21" s="651"/>
      <c r="N21" s="651"/>
      <c r="O21" s="651"/>
      <c r="P21" s="651"/>
      <c r="Q21" s="653"/>
    </row>
    <row r="22" spans="1:17" s="6" customFormat="1" ht="24.75" customHeight="1">
      <c r="A22" s="586" t="s">
        <v>26</v>
      </c>
      <c r="B22" s="635" t="s">
        <v>27</v>
      </c>
      <c r="C22" s="486" t="s">
        <v>161</v>
      </c>
      <c r="D22" s="170" t="s">
        <v>215</v>
      </c>
      <c r="E22" s="372">
        <f aca="true" t="shared" si="2" ref="E22:J22">E23+E25</f>
        <v>100</v>
      </c>
      <c r="F22" s="372">
        <f t="shared" si="2"/>
        <v>20</v>
      </c>
      <c r="G22" s="372">
        <f t="shared" si="2"/>
        <v>20</v>
      </c>
      <c r="H22" s="372">
        <f t="shared" si="2"/>
        <v>20</v>
      </c>
      <c r="I22" s="372">
        <f t="shared" si="2"/>
        <v>20</v>
      </c>
      <c r="J22" s="372">
        <f t="shared" si="2"/>
        <v>20</v>
      </c>
      <c r="K22" s="21" t="s">
        <v>237</v>
      </c>
      <c r="L22" s="166">
        <v>100</v>
      </c>
      <c r="M22" s="166">
        <v>100</v>
      </c>
      <c r="N22" s="166">
        <v>100</v>
      </c>
      <c r="O22" s="166">
        <v>100</v>
      </c>
      <c r="P22" s="166">
        <v>100</v>
      </c>
      <c r="Q22" s="103"/>
    </row>
    <row r="23" spans="1:17" s="6" customFormat="1" ht="24.75" customHeight="1">
      <c r="A23" s="456"/>
      <c r="B23" s="636"/>
      <c r="C23" s="638"/>
      <c r="D23" s="480" t="s">
        <v>5</v>
      </c>
      <c r="E23" s="453">
        <f>SUM(F23:J24)</f>
        <v>50</v>
      </c>
      <c r="F23" s="453">
        <v>10</v>
      </c>
      <c r="G23" s="453">
        <v>10</v>
      </c>
      <c r="H23" s="453">
        <v>10</v>
      </c>
      <c r="I23" s="453">
        <v>10</v>
      </c>
      <c r="J23" s="453">
        <v>10</v>
      </c>
      <c r="K23" s="488" t="s">
        <v>238</v>
      </c>
      <c r="L23" s="455" t="s">
        <v>240</v>
      </c>
      <c r="M23" s="455" t="s">
        <v>240</v>
      </c>
      <c r="N23" s="455" t="s">
        <v>240</v>
      </c>
      <c r="O23" s="455" t="s">
        <v>240</v>
      </c>
      <c r="P23" s="455" t="s">
        <v>240</v>
      </c>
      <c r="Q23" s="486" t="s">
        <v>226</v>
      </c>
    </row>
    <row r="24" spans="1:17" s="6" customFormat="1" ht="5.25" customHeight="1" hidden="1">
      <c r="A24" s="456"/>
      <c r="B24" s="636"/>
      <c r="C24" s="638"/>
      <c r="D24" s="481"/>
      <c r="E24" s="469"/>
      <c r="F24" s="469"/>
      <c r="G24" s="469"/>
      <c r="H24" s="469"/>
      <c r="I24" s="469"/>
      <c r="J24" s="469"/>
      <c r="K24" s="459"/>
      <c r="L24" s="633"/>
      <c r="M24" s="633"/>
      <c r="N24" s="633"/>
      <c r="O24" s="633"/>
      <c r="P24" s="633"/>
      <c r="Q24" s="487"/>
    </row>
    <row r="25" spans="1:17" s="6" customFormat="1" ht="0.75" customHeight="1">
      <c r="A25" s="456"/>
      <c r="B25" s="636"/>
      <c r="C25" s="638"/>
      <c r="D25" s="660" t="s">
        <v>5</v>
      </c>
      <c r="E25" s="453">
        <f>SUM(F25:J26)</f>
        <v>50</v>
      </c>
      <c r="F25" s="489">
        <v>10</v>
      </c>
      <c r="G25" s="489">
        <v>10</v>
      </c>
      <c r="H25" s="453">
        <v>10</v>
      </c>
      <c r="I25" s="453">
        <v>10</v>
      </c>
      <c r="J25" s="453">
        <v>10</v>
      </c>
      <c r="K25" s="460"/>
      <c r="L25" s="634"/>
      <c r="M25" s="634"/>
      <c r="N25" s="634"/>
      <c r="O25" s="634"/>
      <c r="P25" s="634"/>
      <c r="Q25" s="486" t="s">
        <v>225</v>
      </c>
    </row>
    <row r="26" spans="1:17" s="6" customFormat="1" ht="22.5" customHeight="1" thickBot="1">
      <c r="A26" s="457"/>
      <c r="B26" s="637"/>
      <c r="C26" s="638"/>
      <c r="D26" s="480"/>
      <c r="E26" s="454"/>
      <c r="F26" s="453"/>
      <c r="G26" s="453"/>
      <c r="H26" s="454"/>
      <c r="I26" s="454"/>
      <c r="J26" s="454"/>
      <c r="K26" s="21" t="s">
        <v>239</v>
      </c>
      <c r="L26" s="188" t="s">
        <v>236</v>
      </c>
      <c r="M26" s="188" t="s">
        <v>236</v>
      </c>
      <c r="N26" s="188" t="s">
        <v>236</v>
      </c>
      <c r="O26" s="188" t="s">
        <v>236</v>
      </c>
      <c r="P26" s="188" t="s">
        <v>236</v>
      </c>
      <c r="Q26" s="487"/>
    </row>
    <row r="27" spans="1:17" s="1" customFormat="1" ht="22.5" customHeight="1">
      <c r="A27" s="586"/>
      <c r="B27" s="488" t="s">
        <v>43</v>
      </c>
      <c r="C27" s="626"/>
      <c r="D27" s="183" t="s">
        <v>227</v>
      </c>
      <c r="E27" s="350">
        <f aca="true" t="shared" si="3" ref="E27:J27">SUM(E23:E26)</f>
        <v>100</v>
      </c>
      <c r="F27" s="350">
        <f t="shared" si="3"/>
        <v>20</v>
      </c>
      <c r="G27" s="350">
        <f t="shared" si="3"/>
        <v>20</v>
      </c>
      <c r="H27" s="350">
        <f t="shared" si="3"/>
        <v>20</v>
      </c>
      <c r="I27" s="350">
        <f t="shared" si="3"/>
        <v>20</v>
      </c>
      <c r="J27" s="349">
        <f t="shared" si="3"/>
        <v>20</v>
      </c>
      <c r="K27" s="622"/>
      <c r="L27" s="622"/>
      <c r="M27" s="622"/>
      <c r="N27" s="622"/>
      <c r="O27" s="622"/>
      <c r="P27" s="622"/>
      <c r="Q27" s="622"/>
    </row>
    <row r="28" spans="1:17" s="1" customFormat="1" ht="12" customHeight="1">
      <c r="A28" s="456"/>
      <c r="B28" s="625"/>
      <c r="C28" s="627"/>
      <c r="D28" s="376" t="s">
        <v>5</v>
      </c>
      <c r="E28" s="347">
        <f aca="true" t="shared" si="4" ref="E28:J28">E22</f>
        <v>100</v>
      </c>
      <c r="F28" s="347">
        <f t="shared" si="4"/>
        <v>20</v>
      </c>
      <c r="G28" s="347">
        <f t="shared" si="4"/>
        <v>20</v>
      </c>
      <c r="H28" s="347">
        <f t="shared" si="4"/>
        <v>20</v>
      </c>
      <c r="I28" s="347">
        <f t="shared" si="4"/>
        <v>20</v>
      </c>
      <c r="J28" s="123">
        <f t="shared" si="4"/>
        <v>20</v>
      </c>
      <c r="K28" s="623"/>
      <c r="L28" s="623"/>
      <c r="M28" s="623"/>
      <c r="N28" s="623"/>
      <c r="O28" s="623"/>
      <c r="P28" s="623"/>
      <c r="Q28" s="623"/>
    </row>
    <row r="29" spans="1:17" s="1" customFormat="1" ht="13.5" customHeight="1" thickBot="1">
      <c r="A29" s="457"/>
      <c r="B29" s="632"/>
      <c r="C29" s="631"/>
      <c r="D29" s="378" t="s">
        <v>6</v>
      </c>
      <c r="E29" s="125">
        <v>0</v>
      </c>
      <c r="F29" s="125">
        <v>0</v>
      </c>
      <c r="G29" s="125">
        <v>0</v>
      </c>
      <c r="H29" s="125">
        <v>0</v>
      </c>
      <c r="I29" s="125">
        <v>0</v>
      </c>
      <c r="J29" s="126">
        <v>0</v>
      </c>
      <c r="K29" s="624"/>
      <c r="L29" s="624"/>
      <c r="M29" s="624"/>
      <c r="N29" s="624"/>
      <c r="O29" s="624"/>
      <c r="P29" s="624"/>
      <c r="Q29" s="624"/>
    </row>
    <row r="30" spans="1:17" s="6" customFormat="1" ht="12" customHeight="1">
      <c r="A30" s="144" t="s">
        <v>28</v>
      </c>
      <c r="B30" s="661" t="s">
        <v>29</v>
      </c>
      <c r="C30" s="652"/>
      <c r="D30" s="652"/>
      <c r="E30" s="652"/>
      <c r="F30" s="652"/>
      <c r="G30" s="652"/>
      <c r="H30" s="652"/>
      <c r="I30" s="652"/>
      <c r="J30" s="652"/>
      <c r="K30" s="652"/>
      <c r="L30" s="652"/>
      <c r="M30" s="652"/>
      <c r="N30" s="652"/>
      <c r="O30" s="652"/>
      <c r="P30" s="652"/>
      <c r="Q30" s="662"/>
    </row>
    <row r="31" spans="1:17" s="6" customFormat="1" ht="21" customHeight="1">
      <c r="A31" s="586" t="s">
        <v>30</v>
      </c>
      <c r="B31" s="635" t="s">
        <v>128</v>
      </c>
      <c r="C31" s="486" t="s">
        <v>161</v>
      </c>
      <c r="D31" s="170" t="s">
        <v>215</v>
      </c>
      <c r="E31" s="372">
        <f aca="true" t="shared" si="5" ref="E31:J31">E32+E33</f>
        <v>0</v>
      </c>
      <c r="F31" s="372">
        <f t="shared" si="5"/>
        <v>0</v>
      </c>
      <c r="G31" s="372">
        <f t="shared" si="5"/>
        <v>0</v>
      </c>
      <c r="H31" s="372">
        <f t="shared" si="5"/>
        <v>0</v>
      </c>
      <c r="I31" s="372">
        <f t="shared" si="5"/>
        <v>0</v>
      </c>
      <c r="J31" s="372">
        <f t="shared" si="5"/>
        <v>0</v>
      </c>
      <c r="K31" s="103"/>
      <c r="L31" s="103"/>
      <c r="M31" s="103"/>
      <c r="N31" s="103"/>
      <c r="O31" s="103"/>
      <c r="P31" s="103"/>
      <c r="Q31" s="103"/>
    </row>
    <row r="32" spans="1:17" s="6" customFormat="1" ht="17.25" customHeight="1">
      <c r="A32" s="482"/>
      <c r="B32" s="636"/>
      <c r="C32" s="638"/>
      <c r="D32" s="82" t="s">
        <v>5</v>
      </c>
      <c r="E32" s="54">
        <f>SUM(F32:J32)</f>
        <v>0</v>
      </c>
      <c r="F32" s="54">
        <v>0</v>
      </c>
      <c r="G32" s="54">
        <v>0</v>
      </c>
      <c r="H32" s="54">
        <v>0</v>
      </c>
      <c r="I32" s="110">
        <v>0</v>
      </c>
      <c r="J32" s="110">
        <v>0</v>
      </c>
      <c r="K32" s="21" t="s">
        <v>241</v>
      </c>
      <c r="L32" s="189" t="s">
        <v>242</v>
      </c>
      <c r="M32" s="189" t="s">
        <v>242</v>
      </c>
      <c r="N32" s="189" t="s">
        <v>242</v>
      </c>
      <c r="O32" s="189" t="s">
        <v>242</v>
      </c>
      <c r="P32" s="189" t="s">
        <v>242</v>
      </c>
      <c r="Q32" s="586" t="s">
        <v>135</v>
      </c>
    </row>
    <row r="33" spans="1:17" s="6" customFormat="1" ht="33.75" customHeight="1">
      <c r="A33" s="483"/>
      <c r="B33" s="637"/>
      <c r="C33" s="638"/>
      <c r="D33" s="81" t="s">
        <v>6</v>
      </c>
      <c r="E33" s="110">
        <f>SUM(F33:J33)</f>
        <v>0</v>
      </c>
      <c r="F33" s="55">
        <v>0</v>
      </c>
      <c r="G33" s="55">
        <v>0</v>
      </c>
      <c r="H33" s="55">
        <v>0</v>
      </c>
      <c r="I33" s="113">
        <v>0</v>
      </c>
      <c r="J33" s="113">
        <v>0</v>
      </c>
      <c r="K33" s="198" t="s">
        <v>245</v>
      </c>
      <c r="L33" s="189" t="s">
        <v>236</v>
      </c>
      <c r="M33" s="189" t="s">
        <v>236</v>
      </c>
      <c r="N33" s="189" t="s">
        <v>236</v>
      </c>
      <c r="O33" s="189" t="s">
        <v>236</v>
      </c>
      <c r="P33" s="189" t="s">
        <v>236</v>
      </c>
      <c r="Q33" s="648"/>
    </row>
    <row r="34" spans="1:17" s="6" customFormat="1" ht="23.25" customHeight="1">
      <c r="A34" s="449" t="s">
        <v>31</v>
      </c>
      <c r="B34" s="488" t="s">
        <v>32</v>
      </c>
      <c r="C34" s="586" t="s">
        <v>161</v>
      </c>
      <c r="D34" s="170" t="s">
        <v>215</v>
      </c>
      <c r="E34" s="340">
        <f aca="true" t="shared" si="6" ref="E34:J34">E35+E36</f>
        <v>1960.8000000000002</v>
      </c>
      <c r="F34" s="340">
        <f t="shared" si="6"/>
        <v>468</v>
      </c>
      <c r="G34" s="340">
        <f t="shared" si="6"/>
        <v>478.2</v>
      </c>
      <c r="H34" s="340">
        <f t="shared" si="6"/>
        <v>338.2</v>
      </c>
      <c r="I34" s="340">
        <f t="shared" si="6"/>
        <v>338.2</v>
      </c>
      <c r="J34" s="340">
        <f t="shared" si="6"/>
        <v>338.2</v>
      </c>
      <c r="K34" s="21"/>
      <c r="L34" s="22"/>
      <c r="M34" s="22"/>
      <c r="N34" s="22"/>
      <c r="O34" s="22"/>
      <c r="P34" s="22"/>
      <c r="Q34" s="160"/>
    </row>
    <row r="35" spans="1:17" s="6" customFormat="1" ht="15.75" customHeight="1">
      <c r="A35" s="482"/>
      <c r="B35" s="459"/>
      <c r="C35" s="456"/>
      <c r="D35" s="82" t="s">
        <v>5</v>
      </c>
      <c r="E35" s="110">
        <f>SUM(F35:J35)</f>
        <v>1960.8000000000002</v>
      </c>
      <c r="F35" s="54">
        <v>468</v>
      </c>
      <c r="G35" s="54">
        <f>338.2+140</f>
        <v>478.2</v>
      </c>
      <c r="H35" s="54">
        <v>338.2</v>
      </c>
      <c r="I35" s="110">
        <v>338.2</v>
      </c>
      <c r="J35" s="110">
        <v>338.2</v>
      </c>
      <c r="K35" s="21" t="s">
        <v>244</v>
      </c>
      <c r="L35" s="189" t="s">
        <v>240</v>
      </c>
      <c r="M35" s="189" t="s">
        <v>240</v>
      </c>
      <c r="N35" s="189" t="s">
        <v>240</v>
      </c>
      <c r="O35" s="189" t="s">
        <v>240</v>
      </c>
      <c r="P35" s="189" t="s">
        <v>240</v>
      </c>
      <c r="Q35" s="586" t="s">
        <v>135</v>
      </c>
    </row>
    <row r="36" spans="1:17" s="6" customFormat="1" ht="23.25" customHeight="1">
      <c r="A36" s="483"/>
      <c r="B36" s="460"/>
      <c r="C36" s="457"/>
      <c r="D36" s="81" t="s">
        <v>6</v>
      </c>
      <c r="E36" s="110">
        <f>SUM(F36:J36)</f>
        <v>0</v>
      </c>
      <c r="F36" s="55">
        <v>0</v>
      </c>
      <c r="G36" s="55">
        <v>0</v>
      </c>
      <c r="H36" s="55">
        <v>0</v>
      </c>
      <c r="I36" s="113">
        <v>0</v>
      </c>
      <c r="J36" s="113">
        <v>0</v>
      </c>
      <c r="K36" s="21" t="s">
        <v>245</v>
      </c>
      <c r="L36" s="189" t="s">
        <v>236</v>
      </c>
      <c r="M36" s="189" t="s">
        <v>236</v>
      </c>
      <c r="N36" s="189" t="s">
        <v>236</v>
      </c>
      <c r="O36" s="189" t="s">
        <v>236</v>
      </c>
      <c r="P36" s="189" t="s">
        <v>236</v>
      </c>
      <c r="Q36" s="648"/>
    </row>
    <row r="37" spans="1:17" s="6" customFormat="1" ht="22.5" customHeight="1">
      <c r="A37" s="449" t="s">
        <v>143</v>
      </c>
      <c r="B37" s="488" t="s">
        <v>145</v>
      </c>
      <c r="C37" s="586" t="s">
        <v>162</v>
      </c>
      <c r="D37" s="170" t="s">
        <v>215</v>
      </c>
      <c r="E37" s="340">
        <f aca="true" t="shared" si="7" ref="E37:J37">E38</f>
        <v>14.3</v>
      </c>
      <c r="F37" s="340">
        <f t="shared" si="7"/>
        <v>14.3</v>
      </c>
      <c r="G37" s="340">
        <f t="shared" si="7"/>
        <v>0</v>
      </c>
      <c r="H37" s="340">
        <f t="shared" si="7"/>
        <v>0</v>
      </c>
      <c r="I37" s="340">
        <f t="shared" si="7"/>
        <v>0</v>
      </c>
      <c r="J37" s="340">
        <f t="shared" si="7"/>
        <v>0</v>
      </c>
      <c r="K37" s="21"/>
      <c r="L37" s="22"/>
      <c r="M37" s="22"/>
      <c r="N37" s="22"/>
      <c r="O37" s="22"/>
      <c r="P37" s="22"/>
      <c r="Q37" s="160"/>
    </row>
    <row r="38" spans="1:17" s="6" customFormat="1" ht="21" customHeight="1">
      <c r="A38" s="450"/>
      <c r="B38" s="459"/>
      <c r="C38" s="456"/>
      <c r="D38" s="480" t="s">
        <v>5</v>
      </c>
      <c r="E38" s="453">
        <f>SUM(F38:J39)</f>
        <v>14.3</v>
      </c>
      <c r="F38" s="453">
        <v>14.3</v>
      </c>
      <c r="G38" s="453">
        <v>0</v>
      </c>
      <c r="H38" s="453">
        <v>0</v>
      </c>
      <c r="I38" s="453">
        <v>0</v>
      </c>
      <c r="J38" s="453">
        <v>0</v>
      </c>
      <c r="K38" s="21" t="s">
        <v>244</v>
      </c>
      <c r="L38" s="189" t="s">
        <v>236</v>
      </c>
      <c r="M38" s="189">
        <v>0</v>
      </c>
      <c r="N38" s="189">
        <v>0</v>
      </c>
      <c r="O38" s="189">
        <v>0</v>
      </c>
      <c r="P38" s="189">
        <v>0</v>
      </c>
      <c r="Q38" s="586" t="s">
        <v>144</v>
      </c>
    </row>
    <row r="39" spans="1:17" s="6" customFormat="1" ht="24" customHeight="1">
      <c r="A39" s="448"/>
      <c r="B39" s="460"/>
      <c r="C39" s="457"/>
      <c r="D39" s="481"/>
      <c r="E39" s="469"/>
      <c r="F39" s="469"/>
      <c r="G39" s="469"/>
      <c r="H39" s="469"/>
      <c r="I39" s="469"/>
      <c r="J39" s="469"/>
      <c r="K39" s="21" t="s">
        <v>245</v>
      </c>
      <c r="L39" s="189" t="s">
        <v>236</v>
      </c>
      <c r="M39" s="189">
        <v>0</v>
      </c>
      <c r="N39" s="189">
        <v>0</v>
      </c>
      <c r="O39" s="189">
        <v>0</v>
      </c>
      <c r="P39" s="189">
        <v>0</v>
      </c>
      <c r="Q39" s="648"/>
    </row>
    <row r="40" spans="1:17" s="6" customFormat="1" ht="21.75" customHeight="1">
      <c r="A40" s="449" t="s">
        <v>148</v>
      </c>
      <c r="B40" s="488" t="s">
        <v>149</v>
      </c>
      <c r="C40" s="586" t="s">
        <v>162</v>
      </c>
      <c r="D40" s="348" t="s">
        <v>215</v>
      </c>
      <c r="E40" s="345">
        <f aca="true" t="shared" si="8" ref="E40:J40">E41</f>
        <v>25</v>
      </c>
      <c r="F40" s="345">
        <f t="shared" si="8"/>
        <v>25</v>
      </c>
      <c r="G40" s="345">
        <f t="shared" si="8"/>
        <v>0</v>
      </c>
      <c r="H40" s="345">
        <f t="shared" si="8"/>
        <v>0</v>
      </c>
      <c r="I40" s="345">
        <f t="shared" si="8"/>
        <v>0</v>
      </c>
      <c r="J40" s="345">
        <f t="shared" si="8"/>
        <v>0</v>
      </c>
      <c r="K40" s="488" t="s">
        <v>244</v>
      </c>
      <c r="L40" s="455" t="s">
        <v>236</v>
      </c>
      <c r="M40" s="455">
        <v>0</v>
      </c>
      <c r="N40" s="455">
        <v>0</v>
      </c>
      <c r="O40" s="455">
        <v>0</v>
      </c>
      <c r="P40" s="455">
        <v>0</v>
      </c>
      <c r="Q40" s="586" t="s">
        <v>135</v>
      </c>
    </row>
    <row r="41" spans="1:17" s="6" customFormat="1" ht="2.25" customHeight="1" hidden="1">
      <c r="A41" s="450"/>
      <c r="B41" s="459"/>
      <c r="C41" s="456"/>
      <c r="D41" s="480" t="s">
        <v>5</v>
      </c>
      <c r="E41" s="453">
        <f>SUM(F41:J42)</f>
        <v>25</v>
      </c>
      <c r="F41" s="453">
        <v>25</v>
      </c>
      <c r="G41" s="453">
        <v>0</v>
      </c>
      <c r="H41" s="453">
        <v>0</v>
      </c>
      <c r="I41" s="453">
        <v>0</v>
      </c>
      <c r="J41" s="453">
        <v>0</v>
      </c>
      <c r="K41" s="460"/>
      <c r="L41" s="634"/>
      <c r="M41" s="634"/>
      <c r="N41" s="634"/>
      <c r="O41" s="634"/>
      <c r="P41" s="634"/>
      <c r="Q41" s="456"/>
    </row>
    <row r="42" spans="1:17" s="6" customFormat="1" ht="39" customHeight="1" thickBot="1">
      <c r="A42" s="448"/>
      <c r="B42" s="460"/>
      <c r="C42" s="457"/>
      <c r="D42" s="543"/>
      <c r="E42" s="454"/>
      <c r="F42" s="454"/>
      <c r="G42" s="454"/>
      <c r="H42" s="454"/>
      <c r="I42" s="454"/>
      <c r="J42" s="454"/>
      <c r="K42" s="21" t="s">
        <v>245</v>
      </c>
      <c r="L42" s="189" t="s">
        <v>236</v>
      </c>
      <c r="M42" s="189">
        <v>0</v>
      </c>
      <c r="N42" s="189">
        <v>0</v>
      </c>
      <c r="O42" s="189">
        <v>0</v>
      </c>
      <c r="P42" s="189">
        <v>0</v>
      </c>
      <c r="Q42" s="457"/>
    </row>
    <row r="43" spans="1:17" s="1" customFormat="1" ht="12" customHeight="1">
      <c r="A43" s="426"/>
      <c r="B43" s="444" t="s">
        <v>33</v>
      </c>
      <c r="C43" s="433"/>
      <c r="D43" s="120" t="s">
        <v>11</v>
      </c>
      <c r="E43" s="645">
        <v>2000.1000000000001</v>
      </c>
      <c r="F43" s="645">
        <f>SUM(F45:F46)</f>
        <v>507.3</v>
      </c>
      <c r="G43" s="645">
        <f>SUM(G45:G46)</f>
        <v>478.2</v>
      </c>
      <c r="H43" s="645">
        <f>SUM(H45:H46)</f>
        <v>338.2</v>
      </c>
      <c r="I43" s="645">
        <f>SUM(I45:I46)</f>
        <v>338.2</v>
      </c>
      <c r="J43" s="656">
        <f>SUM(J45:J46)</f>
        <v>338.2</v>
      </c>
      <c r="K43" s="640"/>
      <c r="L43" s="426"/>
      <c r="M43" s="426"/>
      <c r="N43" s="426"/>
      <c r="O43" s="426"/>
      <c r="P43" s="426"/>
      <c r="Q43" s="486"/>
    </row>
    <row r="44" spans="1:17" s="1" customFormat="1" ht="13.5" customHeight="1">
      <c r="A44" s="426"/>
      <c r="B44" s="444"/>
      <c r="C44" s="433"/>
      <c r="D44" s="121" t="s">
        <v>12</v>
      </c>
      <c r="E44" s="646"/>
      <c r="F44" s="646"/>
      <c r="G44" s="646"/>
      <c r="H44" s="646"/>
      <c r="I44" s="646"/>
      <c r="J44" s="657"/>
      <c r="K44" s="640"/>
      <c r="L44" s="426"/>
      <c r="M44" s="426"/>
      <c r="N44" s="426"/>
      <c r="O44" s="426"/>
      <c r="P44" s="426"/>
      <c r="Q44" s="486"/>
    </row>
    <row r="45" spans="1:17" s="1" customFormat="1" ht="11.25" customHeight="1">
      <c r="A45" s="426"/>
      <c r="B45" s="444"/>
      <c r="C45" s="433"/>
      <c r="D45" s="122" t="s">
        <v>5</v>
      </c>
      <c r="E45" s="157">
        <f>SUM(F45:J45)</f>
        <v>2000.1000000000001</v>
      </c>
      <c r="F45" s="111">
        <v>507.3</v>
      </c>
      <c r="G45" s="111">
        <f>SUM(G32,G35,G38:G42)</f>
        <v>478.2</v>
      </c>
      <c r="H45" s="111">
        <f>SUM(H32,H35,H38:H42)</f>
        <v>338.2</v>
      </c>
      <c r="I45" s="111">
        <f>SUM(I32,I35,I38:I42)</f>
        <v>338.2</v>
      </c>
      <c r="J45" s="123">
        <f>SUM(J32,J35,J38:J42)</f>
        <v>338.2</v>
      </c>
      <c r="K45" s="640"/>
      <c r="L45" s="426"/>
      <c r="M45" s="426"/>
      <c r="N45" s="426"/>
      <c r="O45" s="426"/>
      <c r="P45" s="426"/>
      <c r="Q45" s="486"/>
    </row>
    <row r="46" spans="1:17" s="1" customFormat="1" ht="14.25" customHeight="1" thickBot="1">
      <c r="A46" s="426"/>
      <c r="B46" s="444"/>
      <c r="C46" s="433"/>
      <c r="D46" s="124" t="s">
        <v>6</v>
      </c>
      <c r="E46" s="125">
        <f>SUM(F46:H46)</f>
        <v>0</v>
      </c>
      <c r="F46" s="125">
        <v>0</v>
      </c>
      <c r="G46" s="125">
        <v>0</v>
      </c>
      <c r="H46" s="125">
        <v>0</v>
      </c>
      <c r="I46" s="125">
        <v>0</v>
      </c>
      <c r="J46" s="126">
        <v>0</v>
      </c>
      <c r="K46" s="640"/>
      <c r="L46" s="426"/>
      <c r="M46" s="426"/>
      <c r="N46" s="426"/>
      <c r="O46" s="426"/>
      <c r="P46" s="426"/>
      <c r="Q46" s="486"/>
    </row>
    <row r="47" spans="1:17" s="6" customFormat="1" ht="12.75" customHeight="1">
      <c r="A47" s="23" t="s">
        <v>34</v>
      </c>
      <c r="B47" s="650" t="s">
        <v>35</v>
      </c>
      <c r="C47" s="651"/>
      <c r="D47" s="652"/>
      <c r="E47" s="652"/>
      <c r="F47" s="652"/>
      <c r="G47" s="652"/>
      <c r="H47" s="652"/>
      <c r="I47" s="652"/>
      <c r="J47" s="652"/>
      <c r="K47" s="651"/>
      <c r="L47" s="651"/>
      <c r="M47" s="651"/>
      <c r="N47" s="651"/>
      <c r="O47" s="651"/>
      <c r="P47" s="651"/>
      <c r="Q47" s="653"/>
    </row>
    <row r="48" spans="1:17" s="6" customFormat="1" ht="23.25" customHeight="1">
      <c r="A48" s="509" t="s">
        <v>36</v>
      </c>
      <c r="B48" s="643" t="s">
        <v>37</v>
      </c>
      <c r="C48" s="486" t="s">
        <v>161</v>
      </c>
      <c r="D48" s="170" t="s">
        <v>215</v>
      </c>
      <c r="E48" s="372">
        <f aca="true" t="shared" si="9" ref="E48:J48">E49</f>
        <v>313.1</v>
      </c>
      <c r="F48" s="372">
        <f t="shared" si="9"/>
        <v>184.4</v>
      </c>
      <c r="G48" s="372">
        <f t="shared" si="9"/>
        <v>128.7</v>
      </c>
      <c r="H48" s="372">
        <f t="shared" si="9"/>
        <v>0</v>
      </c>
      <c r="I48" s="372">
        <f t="shared" si="9"/>
        <v>0</v>
      </c>
      <c r="J48" s="372">
        <f t="shared" si="9"/>
        <v>0</v>
      </c>
      <c r="K48" s="166"/>
      <c r="L48" s="166"/>
      <c r="M48" s="166"/>
      <c r="N48" s="166"/>
      <c r="O48" s="166"/>
      <c r="P48" s="166"/>
      <c r="Q48" s="166"/>
    </row>
    <row r="49" spans="1:17" s="6" customFormat="1" ht="36.75" customHeight="1">
      <c r="A49" s="510"/>
      <c r="B49" s="504"/>
      <c r="C49" s="638"/>
      <c r="D49" s="480" t="s">
        <v>5</v>
      </c>
      <c r="E49" s="453">
        <f>SUM(F49:J50)</f>
        <v>313.1</v>
      </c>
      <c r="F49" s="453">
        <f>71.1-28+156.9-15.6</f>
        <v>184.4</v>
      </c>
      <c r="G49" s="453">
        <f>160-31.3</f>
        <v>128.7</v>
      </c>
      <c r="H49" s="453">
        <v>0</v>
      </c>
      <c r="I49" s="453">
        <v>0</v>
      </c>
      <c r="J49" s="453">
        <v>0</v>
      </c>
      <c r="K49" s="21" t="s">
        <v>246</v>
      </c>
      <c r="L49" s="56">
        <v>25</v>
      </c>
      <c r="M49" s="56">
        <v>25</v>
      </c>
      <c r="N49" s="56">
        <v>0</v>
      </c>
      <c r="O49" s="112">
        <v>0</v>
      </c>
      <c r="P49" s="112">
        <v>0</v>
      </c>
      <c r="Q49" s="586" t="s">
        <v>146</v>
      </c>
    </row>
    <row r="50" spans="1:17" s="6" customFormat="1" ht="21.75" customHeight="1" thickBot="1">
      <c r="A50" s="510"/>
      <c r="B50" s="504"/>
      <c r="C50" s="638"/>
      <c r="D50" s="543"/>
      <c r="E50" s="454"/>
      <c r="F50" s="454"/>
      <c r="G50" s="454"/>
      <c r="H50" s="454"/>
      <c r="I50" s="454"/>
      <c r="J50" s="454"/>
      <c r="K50" s="21" t="s">
        <v>247</v>
      </c>
      <c r="L50" s="189" t="s">
        <v>236</v>
      </c>
      <c r="M50" s="189" t="s">
        <v>236</v>
      </c>
      <c r="N50" s="189" t="s">
        <v>213</v>
      </c>
      <c r="O50" s="189" t="s">
        <v>213</v>
      </c>
      <c r="P50" s="189" t="s">
        <v>213</v>
      </c>
      <c r="Q50" s="648"/>
    </row>
    <row r="51" spans="1:17" s="6" customFormat="1" ht="23.25" customHeight="1">
      <c r="A51" s="449"/>
      <c r="B51" s="488" t="s">
        <v>48</v>
      </c>
      <c r="C51" s="626"/>
      <c r="D51" s="373" t="s">
        <v>228</v>
      </c>
      <c r="E51" s="374">
        <f aca="true" t="shared" si="10" ref="E51:J51">E49</f>
        <v>313.1</v>
      </c>
      <c r="F51" s="374">
        <f t="shared" si="10"/>
        <v>184.4</v>
      </c>
      <c r="G51" s="374">
        <f t="shared" si="10"/>
        <v>128.7</v>
      </c>
      <c r="H51" s="374">
        <f t="shared" si="10"/>
        <v>0</v>
      </c>
      <c r="I51" s="374">
        <f t="shared" si="10"/>
        <v>0</v>
      </c>
      <c r="J51" s="375">
        <f t="shared" si="10"/>
        <v>0</v>
      </c>
      <c r="K51" s="628"/>
      <c r="L51" s="626"/>
      <c r="M51" s="626"/>
      <c r="N51" s="626"/>
      <c r="O51" s="626"/>
      <c r="P51" s="626"/>
      <c r="Q51" s="486"/>
    </row>
    <row r="52" spans="1:17" s="6" customFormat="1" ht="12.75" customHeight="1">
      <c r="A52" s="450"/>
      <c r="B52" s="625"/>
      <c r="C52" s="627"/>
      <c r="D52" s="376" t="s">
        <v>5</v>
      </c>
      <c r="E52" s="333">
        <f aca="true" t="shared" si="11" ref="E52:J52">E51</f>
        <v>313.1</v>
      </c>
      <c r="F52" s="333">
        <f t="shared" si="11"/>
        <v>184.4</v>
      </c>
      <c r="G52" s="333">
        <f t="shared" si="11"/>
        <v>128.7</v>
      </c>
      <c r="H52" s="333">
        <f t="shared" si="11"/>
        <v>0</v>
      </c>
      <c r="I52" s="333">
        <f t="shared" si="11"/>
        <v>0</v>
      </c>
      <c r="J52" s="377">
        <f t="shared" si="11"/>
        <v>0</v>
      </c>
      <c r="K52" s="629"/>
      <c r="L52" s="627"/>
      <c r="M52" s="627"/>
      <c r="N52" s="627"/>
      <c r="O52" s="627"/>
      <c r="P52" s="627"/>
      <c r="Q52" s="487"/>
    </row>
    <row r="53" spans="1:17" s="6" customFormat="1" ht="18" customHeight="1" thickBot="1">
      <c r="A53" s="450"/>
      <c r="B53" s="625"/>
      <c r="C53" s="627"/>
      <c r="D53" s="379" t="s">
        <v>6</v>
      </c>
      <c r="E53" s="335">
        <v>0</v>
      </c>
      <c r="F53" s="335">
        <v>0</v>
      </c>
      <c r="G53" s="335">
        <v>0</v>
      </c>
      <c r="H53" s="335">
        <v>0</v>
      </c>
      <c r="I53" s="335">
        <v>0</v>
      </c>
      <c r="J53" s="380">
        <v>0</v>
      </c>
      <c r="K53" s="630"/>
      <c r="L53" s="631"/>
      <c r="M53" s="631"/>
      <c r="N53" s="631"/>
      <c r="O53" s="631"/>
      <c r="P53" s="631"/>
      <c r="Q53" s="487"/>
    </row>
    <row r="54" spans="1:17" s="1" customFormat="1" ht="9.75" customHeight="1">
      <c r="A54" s="426"/>
      <c r="B54" s="444" t="s">
        <v>13</v>
      </c>
      <c r="C54" s="597"/>
      <c r="D54" s="382" t="s">
        <v>11</v>
      </c>
      <c r="E54" s="658">
        <f>SUM(F54:J54)</f>
        <v>4226.4</v>
      </c>
      <c r="F54" s="658">
        <f>SUM(F56:F57)</f>
        <v>1011.5999999999999</v>
      </c>
      <c r="G54" s="658">
        <f>SUM(G56:G57)</f>
        <v>979.5000000000001</v>
      </c>
      <c r="H54" s="658">
        <f>SUM(H56:H57)</f>
        <v>736.5</v>
      </c>
      <c r="I54" s="658">
        <f>SUM(I56:I57)</f>
        <v>749.4</v>
      </c>
      <c r="J54" s="663">
        <f>SUM(J56:J57)</f>
        <v>749.4</v>
      </c>
      <c r="K54" s="639"/>
      <c r="L54" s="614"/>
      <c r="M54" s="614"/>
      <c r="N54" s="614"/>
      <c r="O54" s="614"/>
      <c r="P54" s="614"/>
      <c r="Q54" s="648"/>
    </row>
    <row r="55" spans="1:17" s="1" customFormat="1" ht="13.5" customHeight="1">
      <c r="A55" s="426"/>
      <c r="B55" s="444"/>
      <c r="C55" s="597"/>
      <c r="D55" s="383" t="s">
        <v>12</v>
      </c>
      <c r="E55" s="659"/>
      <c r="F55" s="659"/>
      <c r="G55" s="659"/>
      <c r="H55" s="659"/>
      <c r="I55" s="659"/>
      <c r="J55" s="664"/>
      <c r="K55" s="640"/>
      <c r="L55" s="426"/>
      <c r="M55" s="426"/>
      <c r="N55" s="426"/>
      <c r="O55" s="426"/>
      <c r="P55" s="426"/>
      <c r="Q55" s="486"/>
    </row>
    <row r="56" spans="1:17" s="1" customFormat="1" ht="15" customHeight="1">
      <c r="A56" s="426"/>
      <c r="B56" s="444"/>
      <c r="C56" s="597"/>
      <c r="D56" s="384" t="s">
        <v>5</v>
      </c>
      <c r="E56" s="381">
        <f>SUM(F56:J56)</f>
        <v>2868.5</v>
      </c>
      <c r="F56" s="381">
        <f>SUM(F13,F23:F26,F35,F49,F38,F41)</f>
        <v>762.9999999999999</v>
      </c>
      <c r="G56" s="307">
        <f>SUM(G13,G23:G26,G35,G49,G38:G42)</f>
        <v>730.9000000000001</v>
      </c>
      <c r="H56" s="381">
        <f>SUM(H13,H23:H26,H35,H49,H38:H42)</f>
        <v>458.2</v>
      </c>
      <c r="I56" s="381">
        <f>SUM(I13,I23:I26,I35,I49,I38:I42)</f>
        <v>458.2</v>
      </c>
      <c r="J56" s="385">
        <f>SUM(J13,J23:J26,J35,J49,J38:J42)</f>
        <v>458.2</v>
      </c>
      <c r="K56" s="640"/>
      <c r="L56" s="426"/>
      <c r="M56" s="426"/>
      <c r="N56" s="426"/>
      <c r="O56" s="426"/>
      <c r="P56" s="426"/>
      <c r="Q56" s="486"/>
    </row>
    <row r="57" spans="1:17" s="1" customFormat="1" ht="13.5" customHeight="1" thickBot="1">
      <c r="A57" s="426"/>
      <c r="B57" s="444"/>
      <c r="C57" s="597"/>
      <c r="D57" s="386" t="s">
        <v>6</v>
      </c>
      <c r="E57" s="387">
        <f>SUM(F57:J57)</f>
        <v>1357.9</v>
      </c>
      <c r="F57" s="387">
        <f>SUM(F10,F33,F36,F50)</f>
        <v>248.6</v>
      </c>
      <c r="G57" s="387">
        <f>SUM(G10,G33,G36,G50)</f>
        <v>248.6</v>
      </c>
      <c r="H57" s="308">
        <f>SUM(H10,H33,H36,H50)</f>
        <v>278.3</v>
      </c>
      <c r="I57" s="308">
        <f>SUM(I10,I33,I36,I50)</f>
        <v>291.2</v>
      </c>
      <c r="J57" s="309">
        <f>SUM(J10,J33,J36,J50)</f>
        <v>291.2</v>
      </c>
      <c r="K57" s="641"/>
      <c r="L57" s="461"/>
      <c r="M57" s="461"/>
      <c r="N57" s="461"/>
      <c r="O57" s="461"/>
      <c r="P57" s="461"/>
      <c r="Q57" s="586"/>
    </row>
    <row r="58" spans="1:17" s="6" customFormat="1" ht="18.75" customHeight="1">
      <c r="A58" s="10"/>
      <c r="B58" s="11"/>
      <c r="C58" s="11"/>
      <c r="D58" s="83"/>
      <c r="E58" s="11"/>
      <c r="F58" s="11"/>
      <c r="G58" s="11"/>
      <c r="H58" s="11"/>
      <c r="I58" s="11"/>
      <c r="J58" s="11"/>
      <c r="K58" s="15"/>
      <c r="L58" s="15"/>
      <c r="M58" s="15"/>
      <c r="N58" s="15"/>
      <c r="O58" s="15"/>
      <c r="P58" s="15"/>
      <c r="Q58" s="24"/>
    </row>
    <row r="59" spans="1:17" s="6" customFormat="1" ht="18.75" customHeight="1">
      <c r="A59" s="10"/>
      <c r="B59" s="11"/>
      <c r="C59" s="11"/>
      <c r="D59" s="83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25"/>
    </row>
    <row r="60" spans="1:17" s="6" customFormat="1" ht="18.75" customHeight="1">
      <c r="A60" s="10"/>
      <c r="B60" s="11"/>
      <c r="C60" s="11"/>
      <c r="D60" s="83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25"/>
    </row>
    <row r="61" spans="1:17" s="6" customFormat="1" ht="18.75" customHeight="1">
      <c r="A61" s="10"/>
      <c r="B61" s="11"/>
      <c r="C61" s="11"/>
      <c r="D61" s="83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25"/>
    </row>
    <row r="62" spans="1:17" s="6" customFormat="1" ht="18.75" customHeight="1">
      <c r="A62" s="12"/>
      <c r="B62" s="13"/>
      <c r="C62" s="13"/>
      <c r="D62" s="84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26"/>
    </row>
    <row r="63" spans="1:17" s="6" customFormat="1" ht="18.75" customHeight="1">
      <c r="A63" s="12"/>
      <c r="B63" s="13"/>
      <c r="C63" s="13"/>
      <c r="D63" s="84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26"/>
    </row>
    <row r="64" spans="1:17" s="6" customFormat="1" ht="18.75" customHeight="1">
      <c r="A64" s="12"/>
      <c r="B64" s="13"/>
      <c r="C64" s="13"/>
      <c r="D64" s="84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26"/>
    </row>
    <row r="65" spans="1:17" s="6" customFormat="1" ht="18.75" customHeight="1">
      <c r="A65" s="12"/>
      <c r="B65" s="13"/>
      <c r="C65" s="13"/>
      <c r="D65" s="84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26"/>
    </row>
    <row r="66" spans="1:17" s="6" customFormat="1" ht="18.75" customHeight="1">
      <c r="A66" s="12"/>
      <c r="B66" s="13"/>
      <c r="C66" s="13"/>
      <c r="D66" s="84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26"/>
    </row>
    <row r="67" spans="1:17" s="6" customFormat="1" ht="18.75" customHeight="1">
      <c r="A67" s="12"/>
      <c r="B67" s="13"/>
      <c r="C67" s="13"/>
      <c r="D67" s="84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26"/>
    </row>
    <row r="68" spans="1:17" s="6" customFormat="1" ht="18.75" customHeight="1">
      <c r="A68" s="12"/>
      <c r="B68" s="13"/>
      <c r="C68" s="13"/>
      <c r="D68" s="84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26"/>
    </row>
    <row r="69" spans="1:17" s="6" customFormat="1" ht="18.75" customHeight="1">
      <c r="A69" s="12"/>
      <c r="B69" s="13"/>
      <c r="C69" s="13"/>
      <c r="D69" s="84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26"/>
    </row>
    <row r="70" spans="1:17" s="6" customFormat="1" ht="18.75" customHeight="1">
      <c r="A70" s="12"/>
      <c r="B70" s="13"/>
      <c r="C70" s="13"/>
      <c r="D70" s="84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26"/>
    </row>
    <row r="71" spans="1:17" s="6" customFormat="1" ht="18.75" customHeight="1">
      <c r="A71" s="12"/>
      <c r="B71" s="13"/>
      <c r="C71" s="13"/>
      <c r="D71" s="84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26"/>
    </row>
    <row r="72" spans="1:17" s="6" customFormat="1" ht="18.75" customHeight="1">
      <c r="A72" s="12"/>
      <c r="B72" s="13"/>
      <c r="C72" s="13"/>
      <c r="D72" s="84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26"/>
    </row>
    <row r="73" spans="1:17" s="6" customFormat="1" ht="18.75" customHeight="1">
      <c r="A73" s="12"/>
      <c r="B73" s="13"/>
      <c r="C73" s="13"/>
      <c r="D73" s="84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26"/>
    </row>
    <row r="74" spans="1:17" s="6" customFormat="1" ht="18.75" customHeight="1">
      <c r="A74" s="12"/>
      <c r="B74" s="13"/>
      <c r="C74" s="13"/>
      <c r="D74" s="84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26"/>
    </row>
    <row r="75" spans="1:17" s="6" customFormat="1" ht="18.75" customHeight="1">
      <c r="A75" s="12"/>
      <c r="B75" s="13"/>
      <c r="C75" s="13"/>
      <c r="D75" s="84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26"/>
    </row>
    <row r="76" spans="1:17" s="6" customFormat="1" ht="18.75" customHeight="1">
      <c r="A76" s="12"/>
      <c r="B76" s="13"/>
      <c r="C76" s="13"/>
      <c r="D76" s="84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26"/>
    </row>
    <row r="77" spans="1:17" s="6" customFormat="1" ht="18.75" customHeight="1">
      <c r="A77" s="12"/>
      <c r="B77" s="13"/>
      <c r="C77" s="13"/>
      <c r="D77" s="84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26"/>
    </row>
    <row r="78" spans="1:17" s="6" customFormat="1" ht="18.75" customHeight="1">
      <c r="A78" s="12"/>
      <c r="B78" s="13"/>
      <c r="C78" s="13"/>
      <c r="D78" s="84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26"/>
    </row>
    <row r="79" spans="1:17" s="6" customFormat="1" ht="18.75" customHeight="1">
      <c r="A79" s="12"/>
      <c r="B79" s="13"/>
      <c r="C79" s="13"/>
      <c r="D79" s="84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26"/>
    </row>
    <row r="80" spans="1:17" s="6" customFormat="1" ht="18.75" customHeight="1">
      <c r="A80" s="12"/>
      <c r="B80" s="13"/>
      <c r="C80" s="13"/>
      <c r="D80" s="84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26"/>
    </row>
    <row r="81" spans="1:17" s="6" customFormat="1" ht="18.75" customHeight="1">
      <c r="A81" s="12"/>
      <c r="B81" s="13"/>
      <c r="C81" s="13"/>
      <c r="D81" s="84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26"/>
    </row>
    <row r="82" spans="1:17" ht="18.75" customHeight="1">
      <c r="A82" s="12"/>
      <c r="B82" s="14"/>
      <c r="C82" s="14"/>
      <c r="D82" s="8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26"/>
    </row>
    <row r="83" spans="1:17" ht="18.75" customHeight="1">
      <c r="A83" s="12"/>
      <c r="B83" s="14"/>
      <c r="C83" s="14"/>
      <c r="D83" s="8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26"/>
    </row>
    <row r="84" spans="1:17" ht="18.75" customHeight="1">
      <c r="A84" s="12"/>
      <c r="B84" s="14"/>
      <c r="C84" s="14"/>
      <c r="D84" s="8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26"/>
    </row>
    <row r="85" spans="1:17" ht="18.75" customHeight="1">
      <c r="A85" s="12"/>
      <c r="B85" s="14"/>
      <c r="C85" s="14"/>
      <c r="D85" s="8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26"/>
    </row>
    <row r="86" spans="1:17" ht="18.75" customHeight="1">
      <c r="A86" s="8"/>
      <c r="B86" s="9"/>
      <c r="C86" s="9"/>
      <c r="D86" s="85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28"/>
    </row>
    <row r="87" spans="1:17" ht="18.75" customHeight="1">
      <c r="A87" s="8"/>
      <c r="B87" s="9"/>
      <c r="C87" s="9"/>
      <c r="D87" s="85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28"/>
    </row>
    <row r="88" spans="1:17" ht="18.75" customHeight="1">
      <c r="A88" s="8"/>
      <c r="B88" s="9"/>
      <c r="C88" s="9"/>
      <c r="D88" s="85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28"/>
    </row>
    <row r="89" spans="1:17" ht="18.75" customHeight="1">
      <c r="A89" s="8"/>
      <c r="B89" s="9"/>
      <c r="C89" s="9"/>
      <c r="D89" s="85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28"/>
    </row>
    <row r="90" spans="1:17" ht="18.75" customHeight="1">
      <c r="A90" s="8"/>
      <c r="B90" s="9"/>
      <c r="C90" s="9"/>
      <c r="D90" s="85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28"/>
    </row>
    <row r="91" spans="1:17" ht="18.75" customHeight="1">
      <c r="A91" s="8"/>
      <c r="B91" s="9"/>
      <c r="C91" s="9"/>
      <c r="D91" s="85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28"/>
    </row>
    <row r="92" spans="1:17" ht="18.75" customHeight="1">
      <c r="A92" s="8"/>
      <c r="B92" s="9"/>
      <c r="C92" s="9"/>
      <c r="D92" s="85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28"/>
    </row>
    <row r="93" spans="1:17" ht="18.75" customHeight="1">
      <c r="A93" s="8"/>
      <c r="B93" s="9"/>
      <c r="C93" s="9"/>
      <c r="D93" s="85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28"/>
    </row>
    <row r="94" spans="1:17" ht="18.75" customHeight="1">
      <c r="A94" s="8"/>
      <c r="B94" s="9"/>
      <c r="C94" s="9"/>
      <c r="D94" s="85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28"/>
    </row>
    <row r="95" spans="1:17" ht="18.75" customHeight="1">
      <c r="A95" s="8"/>
      <c r="B95" s="9"/>
      <c r="C95" s="9"/>
      <c r="D95" s="85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28"/>
    </row>
    <row r="96" spans="1:17" ht="18.75" customHeight="1">
      <c r="A96" s="8"/>
      <c r="B96" s="9"/>
      <c r="C96" s="9"/>
      <c r="D96" s="85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28"/>
    </row>
    <row r="97" spans="1:17" ht="18.75" customHeight="1">
      <c r="A97" s="8"/>
      <c r="B97" s="9"/>
      <c r="C97" s="9"/>
      <c r="D97" s="85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28"/>
    </row>
    <row r="98" spans="1:17" ht="18.75" customHeight="1">
      <c r="A98" s="8"/>
      <c r="B98" s="9"/>
      <c r="C98" s="9"/>
      <c r="D98" s="85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28"/>
    </row>
    <row r="99" spans="1:17" ht="18.75" customHeight="1">
      <c r="A99" s="8"/>
      <c r="B99" s="9"/>
      <c r="C99" s="9"/>
      <c r="D99" s="85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28"/>
    </row>
    <row r="100" spans="1:17" ht="18.75" customHeight="1">
      <c r="A100" s="8"/>
      <c r="B100" s="9"/>
      <c r="C100" s="9"/>
      <c r="D100" s="85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28"/>
    </row>
    <row r="101" spans="1:17" ht="18.75" customHeight="1">
      <c r="A101" s="8"/>
      <c r="B101" s="9"/>
      <c r="C101" s="9"/>
      <c r="D101" s="85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28"/>
    </row>
    <row r="102" spans="1:17" ht="18.75" customHeight="1">
      <c r="A102" s="8"/>
      <c r="B102" s="9"/>
      <c r="C102" s="9"/>
      <c r="D102" s="85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28"/>
    </row>
    <row r="103" spans="1:17" ht="18.75" customHeight="1">
      <c r="A103" s="8"/>
      <c r="B103" s="9"/>
      <c r="C103" s="9"/>
      <c r="D103" s="85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28"/>
    </row>
  </sheetData>
  <sheetProtection/>
  <mergeCells count="188">
    <mergeCell ref="A54:A57"/>
    <mergeCell ref="C54:C57"/>
    <mergeCell ref="E54:E55"/>
    <mergeCell ref="G41:G42"/>
    <mergeCell ref="B37:B39"/>
    <mergeCell ref="A37:A39"/>
    <mergeCell ref="C40:C42"/>
    <mergeCell ref="D41:D42"/>
    <mergeCell ref="E41:E42"/>
    <mergeCell ref="B54:B57"/>
    <mergeCell ref="F54:F55"/>
    <mergeCell ref="G54:G55"/>
    <mergeCell ref="J43:J44"/>
    <mergeCell ref="B40:B42"/>
    <mergeCell ref="C43:C46"/>
    <mergeCell ref="B43:B46"/>
    <mergeCell ref="B48:B50"/>
    <mergeCell ref="I54:I55"/>
    <mergeCell ref="J54:J55"/>
    <mergeCell ref="P43:P46"/>
    <mergeCell ref="I43:I44"/>
    <mergeCell ref="F41:F42"/>
    <mergeCell ref="L54:L57"/>
    <mergeCell ref="M54:M57"/>
    <mergeCell ref="N54:N57"/>
    <mergeCell ref="F43:F44"/>
    <mergeCell ref="L40:L41"/>
    <mergeCell ref="M40:M41"/>
    <mergeCell ref="N40:N41"/>
    <mergeCell ref="D25:D26"/>
    <mergeCell ref="Q32:Q33"/>
    <mergeCell ref="Q35:Q36"/>
    <mergeCell ref="B30:Q30"/>
    <mergeCell ref="G43:G44"/>
    <mergeCell ref="A43:A46"/>
    <mergeCell ref="L43:L46"/>
    <mergeCell ref="M43:M46"/>
    <mergeCell ref="N43:N46"/>
    <mergeCell ref="Q43:Q46"/>
    <mergeCell ref="Q54:Q57"/>
    <mergeCell ref="H54:H55"/>
    <mergeCell ref="Q38:Q39"/>
    <mergeCell ref="K43:K46"/>
    <mergeCell ref="Q49:Q50"/>
    <mergeCell ref="H43:H44"/>
    <mergeCell ref="H38:H39"/>
    <mergeCell ref="I49:I50"/>
    <mergeCell ref="O43:O46"/>
    <mergeCell ref="B47:Q47"/>
    <mergeCell ref="E38:E39"/>
    <mergeCell ref="H41:H42"/>
    <mergeCell ref="K40:K41"/>
    <mergeCell ref="J17:J18"/>
    <mergeCell ref="I38:I39"/>
    <mergeCell ref="J38:J39"/>
    <mergeCell ref="I41:I42"/>
    <mergeCell ref="J41:J42"/>
    <mergeCell ref="E25:E26"/>
    <mergeCell ref="F25:F26"/>
    <mergeCell ref="G25:G26"/>
    <mergeCell ref="H25:H26"/>
    <mergeCell ref="I23:I24"/>
    <mergeCell ref="J23:J24"/>
    <mergeCell ref="I25:I26"/>
    <mergeCell ref="J25:J26"/>
    <mergeCell ref="H23:H24"/>
    <mergeCell ref="B21:Q21"/>
    <mergeCell ref="G17:G18"/>
    <mergeCell ref="N17:N20"/>
    <mergeCell ref="Q17:Q20"/>
    <mergeCell ref="M17:M20"/>
    <mergeCell ref="K15:K16"/>
    <mergeCell ref="E17:E18"/>
    <mergeCell ref="I17:I18"/>
    <mergeCell ref="L17:L20"/>
    <mergeCell ref="D23:D24"/>
    <mergeCell ref="A17:A20"/>
    <mergeCell ref="B17:B20"/>
    <mergeCell ref="C17:C20"/>
    <mergeCell ref="D10:D11"/>
    <mergeCell ref="Q10:Q11"/>
    <mergeCell ref="L15:L16"/>
    <mergeCell ref="M15:M16"/>
    <mergeCell ref="N15:N16"/>
    <mergeCell ref="L13:L14"/>
    <mergeCell ref="M13:M14"/>
    <mergeCell ref="H17:H18"/>
    <mergeCell ref="K17:K20"/>
    <mergeCell ref="F17:F18"/>
    <mergeCell ref="E10:E11"/>
    <mergeCell ref="H10:H11"/>
    <mergeCell ref="G10:G11"/>
    <mergeCell ref="E23:E24"/>
    <mergeCell ref="F23:F24"/>
    <mergeCell ref="G23:G24"/>
    <mergeCell ref="O17:O20"/>
    <mergeCell ref="P17:P20"/>
    <mergeCell ref="C4:C5"/>
    <mergeCell ref="D4:D5"/>
    <mergeCell ref="I13:I16"/>
    <mergeCell ref="J13:J16"/>
    <mergeCell ref="N13:N14"/>
    <mergeCell ref="Q4:Q5"/>
    <mergeCell ref="B4:B5"/>
    <mergeCell ref="D13:D16"/>
    <mergeCell ref="E13:E16"/>
    <mergeCell ref="F13:F16"/>
    <mergeCell ref="G13:G16"/>
    <mergeCell ref="E4:J4"/>
    <mergeCell ref="K4:P4"/>
    <mergeCell ref="I10:I11"/>
    <mergeCell ref="J10:J11"/>
    <mergeCell ref="H1:Q1"/>
    <mergeCell ref="B7:Q7"/>
    <mergeCell ref="B8:Q8"/>
    <mergeCell ref="A2:Q2"/>
    <mergeCell ref="A4:A5"/>
    <mergeCell ref="O15:O16"/>
    <mergeCell ref="P15:P16"/>
    <mergeCell ref="H13:H16"/>
    <mergeCell ref="Q13:Q16"/>
    <mergeCell ref="K13:K14"/>
    <mergeCell ref="O13:O14"/>
    <mergeCell ref="P13:P14"/>
    <mergeCell ref="F10:F11"/>
    <mergeCell ref="C37:C39"/>
    <mergeCell ref="E43:E44"/>
    <mergeCell ref="J49:J50"/>
    <mergeCell ref="H49:H50"/>
    <mergeCell ref="C12:C16"/>
    <mergeCell ref="C22:C26"/>
    <mergeCell ref="P40:P41"/>
    <mergeCell ref="O54:O57"/>
    <mergeCell ref="C48:C50"/>
    <mergeCell ref="O40:O41"/>
    <mergeCell ref="D38:D39"/>
    <mergeCell ref="G38:G39"/>
    <mergeCell ref="P54:P57"/>
    <mergeCell ref="D49:D50"/>
    <mergeCell ref="E49:E50"/>
    <mergeCell ref="F49:F50"/>
    <mergeCell ref="G49:G50"/>
    <mergeCell ref="N51:N53"/>
    <mergeCell ref="O51:O53"/>
    <mergeCell ref="P51:P53"/>
    <mergeCell ref="K54:K57"/>
    <mergeCell ref="A48:A50"/>
    <mergeCell ref="C9:C11"/>
    <mergeCell ref="B9:B11"/>
    <mergeCell ref="A9:A11"/>
    <mergeCell ref="A12:A16"/>
    <mergeCell ref="B12:B16"/>
    <mergeCell ref="B22:B26"/>
    <mergeCell ref="A22:A26"/>
    <mergeCell ref="C31:C33"/>
    <mergeCell ref="B31:B33"/>
    <mergeCell ref="A31:A33"/>
    <mergeCell ref="C34:C36"/>
    <mergeCell ref="B34:B36"/>
    <mergeCell ref="A34:A36"/>
    <mergeCell ref="Q25:Q26"/>
    <mergeCell ref="Q23:Q24"/>
    <mergeCell ref="K23:K25"/>
    <mergeCell ref="L23:L25"/>
    <mergeCell ref="M23:M25"/>
    <mergeCell ref="N23:N25"/>
    <mergeCell ref="O23:O25"/>
    <mergeCell ref="P23:P25"/>
    <mergeCell ref="Q40:Q42"/>
    <mergeCell ref="A27:A29"/>
    <mergeCell ref="B27:B29"/>
    <mergeCell ref="C27:C29"/>
    <mergeCell ref="K27:K29"/>
    <mergeCell ref="L27:L29"/>
    <mergeCell ref="M27:M29"/>
    <mergeCell ref="N27:N29"/>
    <mergeCell ref="A40:A42"/>
    <mergeCell ref="F38:F39"/>
    <mergeCell ref="Q51:Q53"/>
    <mergeCell ref="O27:O29"/>
    <mergeCell ref="P27:P29"/>
    <mergeCell ref="Q27:Q29"/>
    <mergeCell ref="A51:A53"/>
    <mergeCell ref="B51:B53"/>
    <mergeCell ref="C51:C53"/>
    <mergeCell ref="K51:K53"/>
    <mergeCell ref="L51:L53"/>
    <mergeCell ref="M51:M53"/>
  </mergeCells>
  <printOptions horizontalCentered="1"/>
  <pageMargins left="0.2362204724409449" right="0.2362204724409449" top="0.7480314960629921" bottom="0.7480314960629921" header="0.31496062992125984" footer="0.31496062992125984"/>
  <pageSetup fitToHeight="4" fitToWidth="1" horizontalDpi="600" verticalDpi="600" orientation="landscape" paperSize="9" scale="90" r:id="rId1"/>
  <ignoredErrors>
    <ignoredError sqref="L13 M13:P16 L15 L50:P50 L38:L42 L35:P36 L32:P33 L23:P26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Q67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D53" sqref="D53"/>
    </sheetView>
  </sheetViews>
  <sheetFormatPr defaultColWidth="19.7109375" defaultRowHeight="18.75" customHeight="1"/>
  <cols>
    <col min="1" max="1" width="5.28125" style="1" customWidth="1"/>
    <col min="2" max="2" width="25.140625" style="1" customWidth="1"/>
    <col min="3" max="3" width="8.8515625" style="3" customWidth="1"/>
    <col min="4" max="5" width="8.00390625" style="3" customWidth="1"/>
    <col min="6" max="6" width="7.28125" style="3" customWidth="1"/>
    <col min="7" max="7" width="7.421875" style="3" customWidth="1"/>
    <col min="8" max="10" width="7.8515625" style="3" customWidth="1"/>
    <col min="11" max="11" width="29.00390625" style="1" customWidth="1"/>
    <col min="12" max="16" width="4.28125" style="1" customWidth="1"/>
    <col min="17" max="17" width="19.7109375" style="1" customWidth="1"/>
    <col min="18" max="16384" width="19.7109375" style="1" customWidth="1"/>
  </cols>
  <sheetData>
    <row r="1" spans="8:17" ht="28.5" customHeight="1">
      <c r="H1" s="689" t="s">
        <v>379</v>
      </c>
      <c r="I1" s="689"/>
      <c r="J1" s="689"/>
      <c r="K1" s="689"/>
      <c r="L1" s="689"/>
      <c r="M1" s="689"/>
      <c r="N1" s="689"/>
      <c r="O1" s="689"/>
      <c r="P1" s="689"/>
      <c r="Q1" s="689"/>
    </row>
    <row r="2" spans="1:17" ht="39" customHeight="1">
      <c r="A2" s="593" t="s">
        <v>301</v>
      </c>
      <c r="B2" s="593"/>
      <c r="C2" s="593"/>
      <c r="D2" s="593"/>
      <c r="E2" s="593"/>
      <c r="F2" s="593"/>
      <c r="G2" s="593"/>
      <c r="H2" s="593"/>
      <c r="I2" s="593"/>
      <c r="J2" s="593"/>
      <c r="K2" s="593"/>
      <c r="L2" s="593"/>
      <c r="M2" s="593"/>
      <c r="N2" s="593"/>
      <c r="O2" s="593"/>
      <c r="P2" s="593"/>
      <c r="Q2" s="593"/>
    </row>
    <row r="3" ht="12.75" customHeight="1">
      <c r="Q3" s="243" t="s">
        <v>7</v>
      </c>
    </row>
    <row r="4" spans="1:17" ht="42.75" customHeight="1">
      <c r="A4" s="594" t="s">
        <v>16</v>
      </c>
      <c r="B4" s="595" t="s">
        <v>15</v>
      </c>
      <c r="C4" s="594" t="s">
        <v>8</v>
      </c>
      <c r="D4" s="594" t="s">
        <v>9</v>
      </c>
      <c r="E4" s="597" t="s">
        <v>0</v>
      </c>
      <c r="F4" s="598"/>
      <c r="G4" s="598"/>
      <c r="H4" s="598"/>
      <c r="I4" s="598"/>
      <c r="J4" s="599"/>
      <c r="K4" s="597" t="s">
        <v>302</v>
      </c>
      <c r="L4" s="598"/>
      <c r="M4" s="598"/>
      <c r="N4" s="598"/>
      <c r="O4" s="598"/>
      <c r="P4" s="599"/>
      <c r="Q4" s="595" t="s">
        <v>14</v>
      </c>
    </row>
    <row r="5" spans="1:17" ht="12" customHeight="1">
      <c r="A5" s="594"/>
      <c r="B5" s="596"/>
      <c r="C5" s="594"/>
      <c r="D5" s="594"/>
      <c r="E5" s="115" t="s">
        <v>1</v>
      </c>
      <c r="F5" s="115" t="s">
        <v>2</v>
      </c>
      <c r="G5" s="115" t="s">
        <v>3</v>
      </c>
      <c r="H5" s="115" t="s">
        <v>57</v>
      </c>
      <c r="I5" s="115" t="s">
        <v>155</v>
      </c>
      <c r="J5" s="115" t="s">
        <v>156</v>
      </c>
      <c r="K5" s="115" t="s">
        <v>4</v>
      </c>
      <c r="L5" s="115">
        <v>2014</v>
      </c>
      <c r="M5" s="115">
        <v>2015</v>
      </c>
      <c r="N5" s="115">
        <v>2016</v>
      </c>
      <c r="O5" s="115">
        <v>2017</v>
      </c>
      <c r="P5" s="115">
        <v>2018</v>
      </c>
      <c r="Q5" s="596"/>
    </row>
    <row r="6" spans="1:17" ht="13.5" customHeight="1">
      <c r="A6" s="240">
        <v>1</v>
      </c>
      <c r="B6" s="240">
        <v>2</v>
      </c>
      <c r="C6" s="240">
        <v>3</v>
      </c>
      <c r="D6" s="240">
        <v>4</v>
      </c>
      <c r="E6" s="240">
        <v>5</v>
      </c>
      <c r="F6" s="240">
        <v>6</v>
      </c>
      <c r="G6" s="240">
        <v>7</v>
      </c>
      <c r="H6" s="240">
        <v>8</v>
      </c>
      <c r="I6" s="240">
        <v>9</v>
      </c>
      <c r="J6" s="240">
        <v>10</v>
      </c>
      <c r="K6" s="240">
        <v>11</v>
      </c>
      <c r="L6" s="240">
        <v>12</v>
      </c>
      <c r="M6" s="240">
        <v>13</v>
      </c>
      <c r="N6" s="240">
        <v>14</v>
      </c>
      <c r="O6" s="240">
        <v>15</v>
      </c>
      <c r="P6" s="240">
        <v>16</v>
      </c>
      <c r="Q6" s="240">
        <v>17</v>
      </c>
    </row>
    <row r="7" spans="1:17" ht="14.25" customHeight="1">
      <c r="A7" s="240"/>
      <c r="B7" s="444" t="s">
        <v>303</v>
      </c>
      <c r="C7" s="444"/>
      <c r="D7" s="444"/>
      <c r="E7" s="444"/>
      <c r="F7" s="444"/>
      <c r="G7" s="444"/>
      <c r="H7" s="444"/>
      <c r="I7" s="444"/>
      <c r="J7" s="444"/>
      <c r="K7" s="444"/>
      <c r="L7" s="444"/>
      <c r="M7" s="444"/>
      <c r="N7" s="444"/>
      <c r="O7" s="444"/>
      <c r="P7" s="444"/>
      <c r="Q7" s="444"/>
    </row>
    <row r="8" spans="1:17" ht="13.5" customHeight="1">
      <c r="A8" s="241"/>
      <c r="B8" s="686" t="s">
        <v>304</v>
      </c>
      <c r="C8" s="687"/>
      <c r="D8" s="687"/>
      <c r="E8" s="687"/>
      <c r="F8" s="687"/>
      <c r="G8" s="687"/>
      <c r="H8" s="687"/>
      <c r="I8" s="687"/>
      <c r="J8" s="687"/>
      <c r="K8" s="687"/>
      <c r="L8" s="687"/>
      <c r="M8" s="687"/>
      <c r="N8" s="687"/>
      <c r="O8" s="687"/>
      <c r="P8" s="687"/>
      <c r="Q8" s="688"/>
    </row>
    <row r="9" spans="1:17" ht="36" customHeight="1">
      <c r="A9" s="675" t="s">
        <v>10</v>
      </c>
      <c r="B9" s="672" t="s">
        <v>305</v>
      </c>
      <c r="C9" s="784" t="s">
        <v>42</v>
      </c>
      <c r="D9" s="787" t="s">
        <v>310</v>
      </c>
      <c r="E9" s="793">
        <f>F9+G9+H9+I9+J9</f>
        <v>5796.4</v>
      </c>
      <c r="F9" s="794">
        <f>795.4+35</f>
        <v>830.4</v>
      </c>
      <c r="G9" s="795">
        <f>1239+10</f>
        <v>1249</v>
      </c>
      <c r="H9" s="794">
        <v>1239</v>
      </c>
      <c r="I9" s="794">
        <v>1239</v>
      </c>
      <c r="J9" s="794">
        <v>1239</v>
      </c>
      <c r="K9" s="248" t="s">
        <v>306</v>
      </c>
      <c r="L9" s="245">
        <v>100</v>
      </c>
      <c r="M9" s="245">
        <v>100</v>
      </c>
      <c r="N9" s="245">
        <v>100</v>
      </c>
      <c r="O9" s="245">
        <v>100</v>
      </c>
      <c r="P9" s="245">
        <v>100</v>
      </c>
      <c r="Q9" s="586" t="s">
        <v>307</v>
      </c>
    </row>
    <row r="10" spans="1:17" ht="35.25" customHeight="1">
      <c r="A10" s="678"/>
      <c r="B10" s="683"/>
      <c r="C10" s="785"/>
      <c r="D10" s="397" t="s">
        <v>5</v>
      </c>
      <c r="E10" s="399">
        <f>F10+G10+H10+I10+J10</f>
        <v>5796.4</v>
      </c>
      <c r="F10" s="400">
        <f>795.4+35</f>
        <v>830.4</v>
      </c>
      <c r="G10" s="401">
        <f>1239+10</f>
        <v>1249</v>
      </c>
      <c r="H10" s="400">
        <v>1239</v>
      </c>
      <c r="I10" s="400">
        <v>1239</v>
      </c>
      <c r="J10" s="400">
        <v>1239</v>
      </c>
      <c r="K10" s="488" t="s">
        <v>308</v>
      </c>
      <c r="L10" s="675">
        <v>0</v>
      </c>
      <c r="M10" s="675">
        <v>0</v>
      </c>
      <c r="N10" s="675">
        <v>0</v>
      </c>
      <c r="O10" s="675">
        <v>0</v>
      </c>
      <c r="P10" s="675">
        <v>0</v>
      </c>
      <c r="Q10" s="647"/>
    </row>
    <row r="11" spans="1:17" ht="35.25" customHeight="1" thickBot="1">
      <c r="A11" s="679"/>
      <c r="B11" s="398"/>
      <c r="C11" s="779"/>
      <c r="D11" s="786"/>
      <c r="E11" s="786"/>
      <c r="F11" s="786"/>
      <c r="G11" s="786"/>
      <c r="H11" s="786"/>
      <c r="I11" s="786"/>
      <c r="J11" s="786"/>
      <c r="K11" s="649"/>
      <c r="L11" s="679"/>
      <c r="M11" s="679"/>
      <c r="N11" s="679"/>
      <c r="O11" s="679"/>
      <c r="P11" s="679"/>
      <c r="Q11" s="648"/>
    </row>
    <row r="12" spans="1:17" ht="24" customHeight="1" thickBot="1">
      <c r="A12" s="246"/>
      <c r="B12" s="325" t="s">
        <v>309</v>
      </c>
      <c r="C12" s="359"/>
      <c r="D12" s="361" t="s">
        <v>310</v>
      </c>
      <c r="E12" s="247">
        <f>F12+G12+H12+I12+J12</f>
        <v>5796.4</v>
      </c>
      <c r="F12" s="247">
        <f>F9</f>
        <v>830.4</v>
      </c>
      <c r="G12" s="247">
        <f>G9</f>
        <v>1249</v>
      </c>
      <c r="H12" s="247">
        <f>H9</f>
        <v>1239</v>
      </c>
      <c r="I12" s="247">
        <f>I9</f>
        <v>1239</v>
      </c>
      <c r="J12" s="360">
        <f>J9</f>
        <v>1239</v>
      </c>
      <c r="K12" s="248"/>
      <c r="L12" s="249"/>
      <c r="M12" s="249"/>
      <c r="N12" s="249"/>
      <c r="O12" s="249"/>
      <c r="P12" s="249"/>
      <c r="Q12" s="250"/>
    </row>
    <row r="13" spans="1:17" ht="11.25" customHeight="1">
      <c r="A13" s="245"/>
      <c r="B13" s="685" t="s">
        <v>311</v>
      </c>
      <c r="C13" s="782"/>
      <c r="D13" s="782"/>
      <c r="E13" s="782"/>
      <c r="F13" s="782"/>
      <c r="G13" s="782"/>
      <c r="H13" s="782"/>
      <c r="I13" s="782"/>
      <c r="J13" s="782"/>
      <c r="K13" s="782"/>
      <c r="L13" s="782"/>
      <c r="M13" s="782"/>
      <c r="N13" s="782"/>
      <c r="O13" s="782"/>
      <c r="P13" s="782"/>
      <c r="Q13" s="783"/>
    </row>
    <row r="14" spans="1:17" ht="82.5" customHeight="1">
      <c r="A14" s="675" t="s">
        <v>26</v>
      </c>
      <c r="B14" s="445" t="s">
        <v>312</v>
      </c>
      <c r="C14" s="675" t="s">
        <v>42</v>
      </c>
      <c r="D14" s="787" t="s">
        <v>310</v>
      </c>
      <c r="E14" s="791">
        <f>F14+G14+H14+I14+J14</f>
        <v>4004.7</v>
      </c>
      <c r="F14" s="791">
        <f>770.7+20</f>
        <v>790.7</v>
      </c>
      <c r="G14" s="792">
        <f>801+10</f>
        <v>811</v>
      </c>
      <c r="H14" s="791">
        <v>801</v>
      </c>
      <c r="I14" s="791">
        <v>801</v>
      </c>
      <c r="J14" s="791">
        <v>801</v>
      </c>
      <c r="K14" s="242" t="s">
        <v>313</v>
      </c>
      <c r="L14" s="245">
        <v>100</v>
      </c>
      <c r="M14" s="245">
        <v>100</v>
      </c>
      <c r="N14" s="245">
        <v>100</v>
      </c>
      <c r="O14" s="245">
        <v>100</v>
      </c>
      <c r="P14" s="245">
        <v>100</v>
      </c>
      <c r="Q14" s="672" t="s">
        <v>314</v>
      </c>
    </row>
    <row r="15" spans="1:17" ht="27" customHeight="1">
      <c r="A15" s="676"/>
      <c r="B15" s="677"/>
      <c r="C15" s="785"/>
      <c r="D15" s="675" t="s">
        <v>5</v>
      </c>
      <c r="E15" s="671">
        <f>F15+G15+H15+I15+J15</f>
        <v>4004.7</v>
      </c>
      <c r="F15" s="671">
        <f>770.7+20</f>
        <v>790.7</v>
      </c>
      <c r="G15" s="670">
        <f>801+10</f>
        <v>811</v>
      </c>
      <c r="H15" s="671">
        <v>801</v>
      </c>
      <c r="I15" s="671">
        <v>801</v>
      </c>
      <c r="J15" s="671">
        <v>801</v>
      </c>
      <c r="K15" s="242" t="s">
        <v>315</v>
      </c>
      <c r="L15" s="245">
        <v>95</v>
      </c>
      <c r="M15" s="245">
        <v>95</v>
      </c>
      <c r="N15" s="245">
        <v>95</v>
      </c>
      <c r="O15" s="245">
        <v>95</v>
      </c>
      <c r="P15" s="245">
        <v>95</v>
      </c>
      <c r="Q15" s="683"/>
    </row>
    <row r="16" spans="1:17" ht="36.75" customHeight="1" thickBot="1">
      <c r="A16" s="684"/>
      <c r="B16" s="677"/>
      <c r="C16" s="785"/>
      <c r="D16" s="796"/>
      <c r="E16" s="682"/>
      <c r="F16" s="682"/>
      <c r="G16" s="707"/>
      <c r="H16" s="682"/>
      <c r="I16" s="682"/>
      <c r="J16" s="682"/>
      <c r="K16" s="242" t="s">
        <v>316</v>
      </c>
      <c r="L16" s="245" t="s">
        <v>317</v>
      </c>
      <c r="M16" s="245" t="s">
        <v>317</v>
      </c>
      <c r="N16" s="245" t="s">
        <v>317</v>
      </c>
      <c r="O16" s="245" t="s">
        <v>317</v>
      </c>
      <c r="P16" s="245" t="s">
        <v>317</v>
      </c>
      <c r="Q16" s="673"/>
    </row>
    <row r="17" spans="1:17" ht="30" customHeight="1" thickBot="1">
      <c r="A17" s="251"/>
      <c r="B17" s="323" t="s">
        <v>318</v>
      </c>
      <c r="C17" s="251"/>
      <c r="D17" s="361" t="s">
        <v>310</v>
      </c>
      <c r="E17" s="252">
        <f>SUM(F17:J17)</f>
        <v>4004.7</v>
      </c>
      <c r="F17" s="252">
        <f>F14</f>
        <v>790.7</v>
      </c>
      <c r="G17" s="252">
        <f>G14</f>
        <v>811</v>
      </c>
      <c r="H17" s="252">
        <f>H14</f>
        <v>801</v>
      </c>
      <c r="I17" s="252">
        <f>I14</f>
        <v>801</v>
      </c>
      <c r="J17" s="261">
        <f>J14</f>
        <v>801</v>
      </c>
      <c r="K17" s="248"/>
      <c r="L17" s="253"/>
      <c r="M17" s="253"/>
      <c r="N17" s="253"/>
      <c r="O17" s="253"/>
      <c r="P17" s="253"/>
      <c r="Q17" s="244"/>
    </row>
    <row r="18" spans="1:17" ht="12.75" customHeight="1">
      <c r="A18" s="245"/>
      <c r="B18" s="680" t="s">
        <v>319</v>
      </c>
      <c r="C18" s="780"/>
      <c r="D18" s="780"/>
      <c r="E18" s="780"/>
      <c r="F18" s="780"/>
      <c r="G18" s="780"/>
      <c r="H18" s="780"/>
      <c r="I18" s="780"/>
      <c r="J18" s="780"/>
      <c r="K18" s="780"/>
      <c r="L18" s="780"/>
      <c r="M18" s="780"/>
      <c r="N18" s="780"/>
      <c r="O18" s="780"/>
      <c r="P18" s="780"/>
      <c r="Q18" s="781"/>
    </row>
    <row r="19" spans="1:17" ht="33.75" customHeight="1">
      <c r="A19" s="675" t="s">
        <v>30</v>
      </c>
      <c r="B19" s="445" t="s">
        <v>320</v>
      </c>
      <c r="C19" s="675" t="s">
        <v>42</v>
      </c>
      <c r="D19" s="402" t="s">
        <v>310</v>
      </c>
      <c r="E19" s="794">
        <f>SUM(F19:J19)</f>
        <v>1885.3</v>
      </c>
      <c r="F19" s="794">
        <v>365.3</v>
      </c>
      <c r="G19" s="794">
        <v>380</v>
      </c>
      <c r="H19" s="794">
        <v>380</v>
      </c>
      <c r="I19" s="794">
        <v>380</v>
      </c>
      <c r="J19" s="794">
        <v>380</v>
      </c>
      <c r="K19" s="242" t="s">
        <v>321</v>
      </c>
      <c r="L19" s="245">
        <v>100</v>
      </c>
      <c r="M19" s="245">
        <v>100</v>
      </c>
      <c r="N19" s="245">
        <v>100</v>
      </c>
      <c r="O19" s="245">
        <v>100</v>
      </c>
      <c r="P19" s="245">
        <v>100</v>
      </c>
      <c r="Q19" s="672" t="s">
        <v>322</v>
      </c>
    </row>
    <row r="20" spans="1:17" ht="60" customHeight="1">
      <c r="A20" s="676"/>
      <c r="B20" s="677"/>
      <c r="C20" s="676"/>
      <c r="D20" s="675" t="s">
        <v>5</v>
      </c>
      <c r="E20" s="671">
        <f>SUM(F20:J21)</f>
        <v>1885.3</v>
      </c>
      <c r="F20" s="671">
        <v>365.3</v>
      </c>
      <c r="G20" s="671">
        <v>380</v>
      </c>
      <c r="H20" s="671">
        <v>380</v>
      </c>
      <c r="I20" s="671">
        <v>380</v>
      </c>
      <c r="J20" s="671">
        <v>380</v>
      </c>
      <c r="K20" s="242" t="s">
        <v>323</v>
      </c>
      <c r="L20" s="245">
        <v>25</v>
      </c>
      <c r="M20" s="245">
        <v>50</v>
      </c>
      <c r="N20" s="245">
        <v>100</v>
      </c>
      <c r="O20" s="245">
        <v>100</v>
      </c>
      <c r="P20" s="245">
        <v>100</v>
      </c>
      <c r="Q20" s="683"/>
    </row>
    <row r="21" spans="1:17" ht="35.25" customHeight="1" thickBot="1">
      <c r="A21" s="684"/>
      <c r="B21" s="677"/>
      <c r="C21" s="676"/>
      <c r="D21" s="796"/>
      <c r="E21" s="790"/>
      <c r="F21" s="790"/>
      <c r="G21" s="790"/>
      <c r="H21" s="790"/>
      <c r="I21" s="790"/>
      <c r="J21" s="790"/>
      <c r="K21" s="242" t="s">
        <v>324</v>
      </c>
      <c r="L21" s="245" t="s">
        <v>317</v>
      </c>
      <c r="M21" s="245" t="s">
        <v>317</v>
      </c>
      <c r="N21" s="245" t="s">
        <v>317</v>
      </c>
      <c r="O21" s="245" t="s">
        <v>317</v>
      </c>
      <c r="P21" s="245" t="s">
        <v>317</v>
      </c>
      <c r="Q21" s="673"/>
    </row>
    <row r="22" spans="1:17" ht="24.75" customHeight="1" thickBot="1">
      <c r="A22" s="254"/>
      <c r="B22" s="323" t="s">
        <v>325</v>
      </c>
      <c r="C22" s="251"/>
      <c r="D22" s="361" t="s">
        <v>310</v>
      </c>
      <c r="E22" s="252">
        <f>SUM(F22:J22)</f>
        <v>1885.3</v>
      </c>
      <c r="F22" s="252">
        <f>F19</f>
        <v>365.3</v>
      </c>
      <c r="G22" s="252">
        <f>G19</f>
        <v>380</v>
      </c>
      <c r="H22" s="252">
        <f>H19</f>
        <v>380</v>
      </c>
      <c r="I22" s="252">
        <f>I19</f>
        <v>380</v>
      </c>
      <c r="J22" s="261">
        <f>J19</f>
        <v>380</v>
      </c>
      <c r="K22" s="255"/>
      <c r="L22" s="253"/>
      <c r="M22" s="253"/>
      <c r="N22" s="253"/>
      <c r="O22" s="253"/>
      <c r="P22" s="253"/>
      <c r="Q22" s="244"/>
    </row>
    <row r="23" spans="1:17" ht="12.75" customHeight="1">
      <c r="A23" s="256"/>
      <c r="B23" s="680" t="s">
        <v>326</v>
      </c>
      <c r="C23" s="780"/>
      <c r="D23" s="780"/>
      <c r="E23" s="780"/>
      <c r="F23" s="780"/>
      <c r="G23" s="780"/>
      <c r="H23" s="780"/>
      <c r="I23" s="780"/>
      <c r="J23" s="780"/>
      <c r="K23" s="780"/>
      <c r="L23" s="780"/>
      <c r="M23" s="780"/>
      <c r="N23" s="780"/>
      <c r="O23" s="780"/>
      <c r="P23" s="780"/>
      <c r="Q23" s="781"/>
    </row>
    <row r="24" spans="1:17" ht="39" customHeight="1">
      <c r="A24" s="675" t="s">
        <v>36</v>
      </c>
      <c r="B24" s="445" t="s">
        <v>327</v>
      </c>
      <c r="C24" s="675" t="s">
        <v>42</v>
      </c>
      <c r="D24" s="787" t="s">
        <v>310</v>
      </c>
      <c r="E24" s="788">
        <f>SUM(F24:J24)</f>
        <v>1895.3</v>
      </c>
      <c r="F24" s="788">
        <v>365.3</v>
      </c>
      <c r="G24" s="789">
        <f>380+10</f>
        <v>390</v>
      </c>
      <c r="H24" s="788">
        <v>380</v>
      </c>
      <c r="I24" s="788">
        <v>380</v>
      </c>
      <c r="J24" s="788">
        <v>380</v>
      </c>
      <c r="K24" s="242" t="s">
        <v>328</v>
      </c>
      <c r="L24" s="257">
        <v>71.6</v>
      </c>
      <c r="M24" s="257">
        <v>72</v>
      </c>
      <c r="N24" s="257">
        <v>72.7</v>
      </c>
      <c r="O24" s="257">
        <v>72.7</v>
      </c>
      <c r="P24" s="257">
        <v>72.7</v>
      </c>
      <c r="Q24" s="672" t="s">
        <v>322</v>
      </c>
    </row>
    <row r="25" spans="1:17" ht="80.25" customHeight="1">
      <c r="A25" s="676"/>
      <c r="B25" s="677"/>
      <c r="C25" s="676"/>
      <c r="D25" s="773" t="s">
        <v>5</v>
      </c>
      <c r="E25" s="774">
        <f>SUM(F25:J25)</f>
        <v>1895.3</v>
      </c>
      <c r="F25" s="774">
        <v>365.3</v>
      </c>
      <c r="G25" s="775">
        <f>380+10</f>
        <v>390</v>
      </c>
      <c r="H25" s="774">
        <v>380</v>
      </c>
      <c r="I25" s="774">
        <v>380</v>
      </c>
      <c r="J25" s="774">
        <v>380</v>
      </c>
      <c r="K25" s="242" t="s">
        <v>329</v>
      </c>
      <c r="L25" s="257">
        <v>90</v>
      </c>
      <c r="M25" s="257">
        <v>90</v>
      </c>
      <c r="N25" s="257">
        <v>90</v>
      </c>
      <c r="O25" s="257">
        <v>90</v>
      </c>
      <c r="P25" s="257">
        <v>90</v>
      </c>
      <c r="Q25" s="683"/>
    </row>
    <row r="26" spans="1:17" ht="36.75" customHeight="1" thickBot="1">
      <c r="A26" s="676"/>
      <c r="B26" s="677"/>
      <c r="C26" s="676"/>
      <c r="D26" s="776"/>
      <c r="E26" s="777"/>
      <c r="F26" s="777"/>
      <c r="G26" s="778"/>
      <c r="H26" s="777"/>
      <c r="I26" s="777"/>
      <c r="J26" s="777"/>
      <c r="K26" s="242" t="s">
        <v>330</v>
      </c>
      <c r="L26" s="257" t="s">
        <v>317</v>
      </c>
      <c r="M26" s="257" t="s">
        <v>317</v>
      </c>
      <c r="N26" s="257" t="s">
        <v>317</v>
      </c>
      <c r="O26" s="257" t="s">
        <v>317</v>
      </c>
      <c r="P26" s="257" t="s">
        <v>317</v>
      </c>
      <c r="Q26" s="673"/>
    </row>
    <row r="27" spans="1:17" ht="23.25" customHeight="1" thickBot="1">
      <c r="A27" s="330"/>
      <c r="B27" s="323" t="s">
        <v>331</v>
      </c>
      <c r="C27" s="251"/>
      <c r="D27" s="361" t="s">
        <v>310</v>
      </c>
      <c r="E27" s="252">
        <f>SUM(F27:J27)</f>
        <v>1895.3</v>
      </c>
      <c r="F27" s="252">
        <f>F24</f>
        <v>365.3</v>
      </c>
      <c r="G27" s="252">
        <f>G24</f>
        <v>390</v>
      </c>
      <c r="H27" s="252">
        <f>H24</f>
        <v>380</v>
      </c>
      <c r="I27" s="252">
        <f>I24</f>
        <v>380</v>
      </c>
      <c r="J27" s="261">
        <f>J24</f>
        <v>380</v>
      </c>
      <c r="K27" s="248"/>
      <c r="L27" s="253"/>
      <c r="M27" s="253"/>
      <c r="N27" s="253"/>
      <c r="O27" s="253"/>
      <c r="P27" s="253"/>
      <c r="Q27" s="244"/>
    </row>
    <row r="28" spans="1:17" ht="14.25" customHeight="1">
      <c r="A28" s="258"/>
      <c r="B28" s="680" t="s">
        <v>332</v>
      </c>
      <c r="C28" s="780"/>
      <c r="D28" s="780"/>
      <c r="E28" s="780"/>
      <c r="F28" s="780"/>
      <c r="G28" s="780"/>
      <c r="H28" s="780"/>
      <c r="I28" s="780"/>
      <c r="J28" s="780"/>
      <c r="K28" s="780"/>
      <c r="L28" s="780"/>
      <c r="M28" s="780"/>
      <c r="N28" s="780"/>
      <c r="O28" s="780"/>
      <c r="P28" s="780"/>
      <c r="Q28" s="781"/>
    </row>
    <row r="29" spans="1:17" ht="45.75" customHeight="1">
      <c r="A29" s="675" t="s">
        <v>39</v>
      </c>
      <c r="B29" s="445" t="s">
        <v>333</v>
      </c>
      <c r="C29" s="675" t="s">
        <v>42</v>
      </c>
      <c r="D29" s="402" t="s">
        <v>310</v>
      </c>
      <c r="E29" s="794">
        <f>SUM(F29:J29)</f>
        <v>967.6</v>
      </c>
      <c r="F29" s="794">
        <f>182.6+25</f>
        <v>207.6</v>
      </c>
      <c r="G29" s="794">
        <v>190</v>
      </c>
      <c r="H29" s="794">
        <v>190</v>
      </c>
      <c r="I29" s="794">
        <v>190</v>
      </c>
      <c r="J29" s="794">
        <v>190</v>
      </c>
      <c r="K29" s="242" t="s">
        <v>334</v>
      </c>
      <c r="L29" s="257" t="s">
        <v>317</v>
      </c>
      <c r="M29" s="257" t="s">
        <v>317</v>
      </c>
      <c r="N29" s="257" t="s">
        <v>317</v>
      </c>
      <c r="O29" s="257" t="s">
        <v>317</v>
      </c>
      <c r="P29" s="257" t="s">
        <v>317</v>
      </c>
      <c r="Q29" s="672" t="s">
        <v>322</v>
      </c>
    </row>
    <row r="30" spans="1:17" ht="36.75" customHeight="1">
      <c r="A30" s="676"/>
      <c r="B30" s="677"/>
      <c r="C30" s="676"/>
      <c r="D30" s="397" t="s">
        <v>5</v>
      </c>
      <c r="E30" s="400">
        <f>SUM(F30:J30)</f>
        <v>967.6</v>
      </c>
      <c r="F30" s="400">
        <f>182.6+25</f>
        <v>207.6</v>
      </c>
      <c r="G30" s="400">
        <v>190</v>
      </c>
      <c r="H30" s="400">
        <v>190</v>
      </c>
      <c r="I30" s="400">
        <v>190</v>
      </c>
      <c r="J30" s="400">
        <v>190</v>
      </c>
      <c r="K30" s="242" t="s">
        <v>335</v>
      </c>
      <c r="L30" s="257">
        <v>8</v>
      </c>
      <c r="M30" s="257">
        <v>5</v>
      </c>
      <c r="N30" s="257">
        <v>5</v>
      </c>
      <c r="O30" s="257">
        <v>5</v>
      </c>
      <c r="P30" s="257">
        <v>5</v>
      </c>
      <c r="Q30" s="683"/>
    </row>
    <row r="31" spans="1:17" ht="25.5" customHeight="1" thickBot="1">
      <c r="A31" s="684"/>
      <c r="B31" s="677"/>
      <c r="C31" s="676"/>
      <c r="D31" s="776"/>
      <c r="E31" s="777"/>
      <c r="F31" s="777"/>
      <c r="G31" s="777"/>
      <c r="H31" s="777"/>
      <c r="I31" s="777"/>
      <c r="J31" s="777"/>
      <c r="K31" s="242" t="s">
        <v>336</v>
      </c>
      <c r="L31" s="257">
        <v>2</v>
      </c>
      <c r="M31" s="257">
        <v>1</v>
      </c>
      <c r="N31" s="257">
        <v>0</v>
      </c>
      <c r="O31" s="257">
        <v>0</v>
      </c>
      <c r="P31" s="257">
        <v>0</v>
      </c>
      <c r="Q31" s="673"/>
    </row>
    <row r="32" spans="1:17" ht="22.5" customHeight="1" thickBot="1">
      <c r="A32" s="251"/>
      <c r="B32" s="323" t="s">
        <v>337</v>
      </c>
      <c r="C32" s="251"/>
      <c r="D32" s="361" t="s">
        <v>310</v>
      </c>
      <c r="E32" s="252">
        <f>SUM(F32:J32)</f>
        <v>967.6</v>
      </c>
      <c r="F32" s="252">
        <f>F29</f>
        <v>207.6</v>
      </c>
      <c r="G32" s="252">
        <f>G29</f>
        <v>190</v>
      </c>
      <c r="H32" s="252">
        <f>H29</f>
        <v>190</v>
      </c>
      <c r="I32" s="252">
        <f>I29</f>
        <v>190</v>
      </c>
      <c r="J32" s="261">
        <f>J29</f>
        <v>190</v>
      </c>
      <c r="K32" s="248"/>
      <c r="L32" s="253"/>
      <c r="M32" s="253"/>
      <c r="N32" s="253"/>
      <c r="O32" s="253"/>
      <c r="P32" s="253"/>
      <c r="Q32" s="244"/>
    </row>
    <row r="33" spans="1:17" ht="14.25" customHeight="1">
      <c r="A33" s="245"/>
      <c r="B33" s="680" t="s">
        <v>338</v>
      </c>
      <c r="C33" s="780"/>
      <c r="D33" s="780"/>
      <c r="E33" s="780"/>
      <c r="F33" s="780"/>
      <c r="G33" s="780"/>
      <c r="H33" s="780"/>
      <c r="I33" s="780"/>
      <c r="J33" s="780"/>
      <c r="K33" s="780"/>
      <c r="L33" s="780"/>
      <c r="M33" s="780"/>
      <c r="N33" s="780"/>
      <c r="O33" s="780"/>
      <c r="P33" s="780"/>
      <c r="Q33" s="781"/>
    </row>
    <row r="34" spans="1:17" ht="35.25" customHeight="1">
      <c r="A34" s="675" t="s">
        <v>118</v>
      </c>
      <c r="B34" s="445" t="s">
        <v>339</v>
      </c>
      <c r="C34" s="675" t="s">
        <v>42</v>
      </c>
      <c r="D34" s="402" t="s">
        <v>310</v>
      </c>
      <c r="E34" s="793">
        <f>SUM(F34:J34)</f>
        <v>942.6</v>
      </c>
      <c r="F34" s="793">
        <v>182.6</v>
      </c>
      <c r="G34" s="793">
        <v>190</v>
      </c>
      <c r="H34" s="793">
        <v>190</v>
      </c>
      <c r="I34" s="793">
        <v>190</v>
      </c>
      <c r="J34" s="793">
        <v>190</v>
      </c>
      <c r="K34" s="242" t="s">
        <v>340</v>
      </c>
      <c r="L34" s="257">
        <v>41</v>
      </c>
      <c r="M34" s="257">
        <v>41</v>
      </c>
      <c r="N34" s="257">
        <v>41</v>
      </c>
      <c r="O34" s="257">
        <v>41</v>
      </c>
      <c r="P34" s="257">
        <v>41</v>
      </c>
      <c r="Q34" s="672" t="s">
        <v>322</v>
      </c>
    </row>
    <row r="35" spans="1:17" ht="36.75" customHeight="1">
      <c r="A35" s="676"/>
      <c r="B35" s="677"/>
      <c r="C35" s="676"/>
      <c r="D35" s="396" t="s">
        <v>5</v>
      </c>
      <c r="E35" s="399">
        <f>SUM(F35:J35)</f>
        <v>942.6</v>
      </c>
      <c r="F35" s="399">
        <v>182.6</v>
      </c>
      <c r="G35" s="399">
        <v>190</v>
      </c>
      <c r="H35" s="399">
        <v>190</v>
      </c>
      <c r="I35" s="399">
        <v>190</v>
      </c>
      <c r="J35" s="399">
        <v>190</v>
      </c>
      <c r="K35" s="242" t="s">
        <v>341</v>
      </c>
      <c r="L35" s="257">
        <v>37</v>
      </c>
      <c r="M35" s="257">
        <v>37</v>
      </c>
      <c r="N35" s="257">
        <v>37</v>
      </c>
      <c r="O35" s="257">
        <v>37</v>
      </c>
      <c r="P35" s="257">
        <v>37</v>
      </c>
      <c r="Q35" s="683"/>
    </row>
    <row r="36" spans="1:17" ht="35.25" customHeight="1" thickBot="1">
      <c r="A36" s="676"/>
      <c r="B36" s="677"/>
      <c r="C36" s="676"/>
      <c r="D36" s="776"/>
      <c r="E36" s="777"/>
      <c r="F36" s="777"/>
      <c r="G36" s="777"/>
      <c r="H36" s="777"/>
      <c r="I36" s="777"/>
      <c r="J36" s="777"/>
      <c r="K36" s="242" t="s">
        <v>342</v>
      </c>
      <c r="L36" s="257">
        <v>12</v>
      </c>
      <c r="M36" s="257">
        <v>15</v>
      </c>
      <c r="N36" s="257">
        <v>17</v>
      </c>
      <c r="O36" s="257">
        <v>17</v>
      </c>
      <c r="P36" s="257">
        <v>17</v>
      </c>
      <c r="Q36" s="673"/>
    </row>
    <row r="37" spans="1:17" ht="20.25" customHeight="1" thickBot="1">
      <c r="A37" s="330"/>
      <c r="B37" s="321" t="s">
        <v>343</v>
      </c>
      <c r="C37" s="362"/>
      <c r="D37" s="361" t="s">
        <v>310</v>
      </c>
      <c r="E37" s="252">
        <f>SUM(F37:J37)</f>
        <v>942.6</v>
      </c>
      <c r="F37" s="252">
        <f>F34</f>
        <v>182.6</v>
      </c>
      <c r="G37" s="252">
        <f>G34</f>
        <v>190</v>
      </c>
      <c r="H37" s="252">
        <f>H34</f>
        <v>190</v>
      </c>
      <c r="I37" s="252">
        <f>I34</f>
        <v>190</v>
      </c>
      <c r="J37" s="261">
        <f>J34</f>
        <v>190</v>
      </c>
      <c r="K37" s="248"/>
      <c r="L37" s="253"/>
      <c r="M37" s="253"/>
      <c r="N37" s="253"/>
      <c r="O37" s="253"/>
      <c r="P37" s="253"/>
      <c r="Q37" s="244"/>
    </row>
    <row r="38" spans="1:17" ht="12" customHeight="1">
      <c r="A38" s="259"/>
      <c r="B38" s="680" t="s">
        <v>344</v>
      </c>
      <c r="C38" s="780"/>
      <c r="D38" s="780"/>
      <c r="E38" s="780"/>
      <c r="F38" s="780"/>
      <c r="G38" s="780"/>
      <c r="H38" s="780"/>
      <c r="I38" s="780"/>
      <c r="J38" s="780"/>
      <c r="K38" s="780"/>
      <c r="L38" s="780"/>
      <c r="M38" s="780"/>
      <c r="N38" s="780"/>
      <c r="O38" s="780"/>
      <c r="P38" s="780"/>
      <c r="Q38" s="781"/>
    </row>
    <row r="39" spans="1:17" ht="45" customHeight="1">
      <c r="A39" s="675" t="s">
        <v>345</v>
      </c>
      <c r="B39" s="445" t="s">
        <v>346</v>
      </c>
      <c r="C39" s="675" t="s">
        <v>42</v>
      </c>
      <c r="D39" s="402" t="s">
        <v>310</v>
      </c>
      <c r="E39" s="793">
        <f>SUM(F39:J39)</f>
        <v>942.6</v>
      </c>
      <c r="F39" s="793">
        <v>182.6</v>
      </c>
      <c r="G39" s="793">
        <v>190</v>
      </c>
      <c r="H39" s="793">
        <v>190</v>
      </c>
      <c r="I39" s="793">
        <v>190</v>
      </c>
      <c r="J39" s="793">
        <v>190</v>
      </c>
      <c r="K39" s="242" t="s">
        <v>347</v>
      </c>
      <c r="L39" s="257">
        <v>48</v>
      </c>
      <c r="M39" s="257">
        <v>48</v>
      </c>
      <c r="N39" s="257">
        <v>48</v>
      </c>
      <c r="O39" s="257">
        <v>48</v>
      </c>
      <c r="P39" s="257">
        <v>48</v>
      </c>
      <c r="Q39" s="672" t="s">
        <v>348</v>
      </c>
    </row>
    <row r="40" spans="1:17" ht="46.5" customHeight="1" thickBot="1">
      <c r="A40" s="676"/>
      <c r="B40" s="677"/>
      <c r="C40" s="676"/>
      <c r="D40" s="396" t="s">
        <v>5</v>
      </c>
      <c r="E40" s="399">
        <f>SUM(F40:J40)</f>
        <v>942.6</v>
      </c>
      <c r="F40" s="399">
        <v>182.6</v>
      </c>
      <c r="G40" s="399">
        <v>190</v>
      </c>
      <c r="H40" s="399">
        <v>190</v>
      </c>
      <c r="I40" s="399">
        <v>190</v>
      </c>
      <c r="J40" s="399">
        <v>190</v>
      </c>
      <c r="K40" s="242" t="s">
        <v>349</v>
      </c>
      <c r="L40" s="257">
        <v>29.5</v>
      </c>
      <c r="M40" s="257">
        <v>29.5</v>
      </c>
      <c r="N40" s="257">
        <v>29.5</v>
      </c>
      <c r="O40" s="257">
        <v>29.5</v>
      </c>
      <c r="P40" s="257">
        <v>29.5</v>
      </c>
      <c r="Q40" s="673"/>
    </row>
    <row r="41" spans="1:17" ht="20.25" customHeight="1" thickBot="1">
      <c r="A41" s="330"/>
      <c r="B41" s="323" t="s">
        <v>350</v>
      </c>
      <c r="C41" s="251"/>
      <c r="D41" s="361" t="s">
        <v>310</v>
      </c>
      <c r="E41" s="252">
        <f>SUM(F41:J41)</f>
        <v>942.6</v>
      </c>
      <c r="F41" s="252">
        <f>F39</f>
        <v>182.6</v>
      </c>
      <c r="G41" s="252">
        <f>G39</f>
        <v>190</v>
      </c>
      <c r="H41" s="252">
        <f>H39</f>
        <v>190</v>
      </c>
      <c r="I41" s="252">
        <f>I39</f>
        <v>190</v>
      </c>
      <c r="J41" s="261">
        <f>J39</f>
        <v>190</v>
      </c>
      <c r="K41" s="248"/>
      <c r="L41" s="253"/>
      <c r="M41" s="253"/>
      <c r="N41" s="253"/>
      <c r="O41" s="253"/>
      <c r="P41" s="253"/>
      <c r="Q41" s="244"/>
    </row>
    <row r="42" spans="1:17" ht="13.5" customHeight="1">
      <c r="A42" s="258"/>
      <c r="B42" s="680" t="s">
        <v>351</v>
      </c>
      <c r="C42" s="780"/>
      <c r="D42" s="780"/>
      <c r="E42" s="780"/>
      <c r="F42" s="780"/>
      <c r="G42" s="780"/>
      <c r="H42" s="780"/>
      <c r="I42" s="780"/>
      <c r="J42" s="780"/>
      <c r="K42" s="780"/>
      <c r="L42" s="780"/>
      <c r="M42" s="780"/>
      <c r="N42" s="780"/>
      <c r="O42" s="780"/>
      <c r="P42" s="780"/>
      <c r="Q42" s="781"/>
    </row>
    <row r="43" spans="1:17" ht="37.5" customHeight="1">
      <c r="A43" s="675" t="s">
        <v>352</v>
      </c>
      <c r="B43" s="445" t="s">
        <v>353</v>
      </c>
      <c r="C43" s="675" t="s">
        <v>42</v>
      </c>
      <c r="D43" s="402" t="s">
        <v>310</v>
      </c>
      <c r="E43" s="793">
        <f>SUM(F43:J43)</f>
        <v>952.6</v>
      </c>
      <c r="F43" s="793">
        <v>182.6</v>
      </c>
      <c r="G43" s="798">
        <f>190+10</f>
        <v>200</v>
      </c>
      <c r="H43" s="793">
        <v>190</v>
      </c>
      <c r="I43" s="793">
        <v>190</v>
      </c>
      <c r="J43" s="793">
        <v>190</v>
      </c>
      <c r="K43" s="242" t="s">
        <v>354</v>
      </c>
      <c r="L43" s="257">
        <v>90</v>
      </c>
      <c r="M43" s="257">
        <v>90</v>
      </c>
      <c r="N43" s="257">
        <v>90</v>
      </c>
      <c r="O43" s="257">
        <v>90</v>
      </c>
      <c r="P43" s="257">
        <v>90</v>
      </c>
      <c r="Q43" s="672" t="s">
        <v>348</v>
      </c>
    </row>
    <row r="44" spans="1:17" ht="24.75" customHeight="1" thickBot="1">
      <c r="A44" s="676"/>
      <c r="B44" s="677"/>
      <c r="C44" s="676"/>
      <c r="D44" s="396" t="s">
        <v>5</v>
      </c>
      <c r="E44" s="399">
        <f>SUM(F44:J44)</f>
        <v>952.6</v>
      </c>
      <c r="F44" s="399">
        <v>182.6</v>
      </c>
      <c r="G44" s="797">
        <f>190+10</f>
        <v>200</v>
      </c>
      <c r="H44" s="399">
        <v>190</v>
      </c>
      <c r="I44" s="399">
        <v>190</v>
      </c>
      <c r="J44" s="399">
        <v>190</v>
      </c>
      <c r="K44" s="242" t="s">
        <v>355</v>
      </c>
      <c r="L44" s="257">
        <v>4</v>
      </c>
      <c r="M44" s="257">
        <v>5</v>
      </c>
      <c r="N44" s="257">
        <v>5</v>
      </c>
      <c r="O44" s="257">
        <v>5</v>
      </c>
      <c r="P44" s="257">
        <v>5</v>
      </c>
      <c r="Q44" s="673"/>
    </row>
    <row r="45" spans="1:17" ht="21" customHeight="1" thickBot="1">
      <c r="A45" s="330"/>
      <c r="B45" s="323" t="s">
        <v>356</v>
      </c>
      <c r="C45" s="251"/>
      <c r="D45" s="361" t="s">
        <v>310</v>
      </c>
      <c r="E45" s="252">
        <f>SUM(F45:J45)</f>
        <v>952.6</v>
      </c>
      <c r="F45" s="252">
        <f>F43</f>
        <v>182.6</v>
      </c>
      <c r="G45" s="252">
        <f>G43</f>
        <v>200</v>
      </c>
      <c r="H45" s="252">
        <f>H43</f>
        <v>190</v>
      </c>
      <c r="I45" s="252">
        <f>I43</f>
        <v>190</v>
      </c>
      <c r="J45" s="261">
        <f>J43</f>
        <v>190</v>
      </c>
      <c r="K45" s="248"/>
      <c r="L45" s="253"/>
      <c r="M45" s="253"/>
      <c r="N45" s="253"/>
      <c r="O45" s="253"/>
      <c r="P45" s="253"/>
      <c r="Q45" s="244"/>
    </row>
    <row r="46" spans="1:17" ht="12" customHeight="1">
      <c r="A46" s="258"/>
      <c r="B46" s="680" t="s">
        <v>357</v>
      </c>
      <c r="C46" s="780"/>
      <c r="D46" s="780"/>
      <c r="E46" s="780"/>
      <c r="F46" s="780"/>
      <c r="G46" s="780"/>
      <c r="H46" s="780"/>
      <c r="I46" s="780"/>
      <c r="J46" s="780"/>
      <c r="K46" s="780"/>
      <c r="L46" s="780"/>
      <c r="M46" s="780"/>
      <c r="N46" s="780"/>
      <c r="O46" s="780"/>
      <c r="P46" s="780"/>
      <c r="Q46" s="781"/>
    </row>
    <row r="47" spans="1:17" ht="35.25" customHeight="1">
      <c r="A47" s="675" t="s">
        <v>358</v>
      </c>
      <c r="B47" s="445" t="s">
        <v>359</v>
      </c>
      <c r="C47" s="675" t="s">
        <v>42</v>
      </c>
      <c r="D47" s="402" t="s">
        <v>310</v>
      </c>
      <c r="E47" s="793">
        <f>SUM(F47:J47)</f>
        <v>3006.1</v>
      </c>
      <c r="F47" s="793">
        <v>396.1</v>
      </c>
      <c r="G47" s="798">
        <f>650+10</f>
        <v>660</v>
      </c>
      <c r="H47" s="793">
        <v>650</v>
      </c>
      <c r="I47" s="793">
        <v>650</v>
      </c>
      <c r="J47" s="793">
        <v>650</v>
      </c>
      <c r="K47" s="242" t="s">
        <v>360</v>
      </c>
      <c r="L47" s="257">
        <v>12</v>
      </c>
      <c r="M47" s="257">
        <v>13</v>
      </c>
      <c r="N47" s="257">
        <v>14</v>
      </c>
      <c r="O47" s="257">
        <v>14</v>
      </c>
      <c r="P47" s="257">
        <v>14</v>
      </c>
      <c r="Q47" s="672" t="s">
        <v>361</v>
      </c>
    </row>
    <row r="48" spans="1:17" ht="24.75" customHeight="1" thickBot="1">
      <c r="A48" s="676"/>
      <c r="B48" s="677"/>
      <c r="C48" s="676"/>
      <c r="D48" s="396" t="s">
        <v>5</v>
      </c>
      <c r="E48" s="399">
        <f>SUM(F48:J48)</f>
        <v>3006.1</v>
      </c>
      <c r="F48" s="399">
        <v>396.1</v>
      </c>
      <c r="G48" s="797">
        <f>650+10</f>
        <v>660</v>
      </c>
      <c r="H48" s="399">
        <v>650</v>
      </c>
      <c r="I48" s="399">
        <v>650</v>
      </c>
      <c r="J48" s="399">
        <v>650</v>
      </c>
      <c r="K48" s="242" t="s">
        <v>362</v>
      </c>
      <c r="L48" s="257">
        <v>8</v>
      </c>
      <c r="M48" s="257">
        <v>8</v>
      </c>
      <c r="N48" s="257">
        <v>8</v>
      </c>
      <c r="O48" s="257">
        <v>8</v>
      </c>
      <c r="P48" s="257">
        <v>8</v>
      </c>
      <c r="Q48" s="673"/>
    </row>
    <row r="49" spans="1:17" ht="21.75" customHeight="1" thickBot="1">
      <c r="A49" s="330"/>
      <c r="B49" s="323" t="s">
        <v>363</v>
      </c>
      <c r="C49" s="251"/>
      <c r="D49" s="361" t="s">
        <v>310</v>
      </c>
      <c r="E49" s="252">
        <f>SUM(F49:J49)</f>
        <v>3006.1</v>
      </c>
      <c r="F49" s="252">
        <f>F47</f>
        <v>396.1</v>
      </c>
      <c r="G49" s="252">
        <f>G47</f>
        <v>660</v>
      </c>
      <c r="H49" s="252">
        <f>H47</f>
        <v>650</v>
      </c>
      <c r="I49" s="252">
        <f>I47</f>
        <v>650</v>
      </c>
      <c r="J49" s="261">
        <f>J47</f>
        <v>650</v>
      </c>
      <c r="K49" s="260"/>
      <c r="L49" s="253"/>
      <c r="M49" s="253"/>
      <c r="N49" s="253"/>
      <c r="O49" s="253"/>
      <c r="P49" s="253"/>
      <c r="Q49" s="244"/>
    </row>
    <row r="50" spans="1:17" ht="14.25" customHeight="1">
      <c r="A50" s="258"/>
      <c r="B50" s="680" t="s">
        <v>364</v>
      </c>
      <c r="C50" s="780"/>
      <c r="D50" s="780"/>
      <c r="E50" s="780"/>
      <c r="F50" s="780"/>
      <c r="G50" s="780"/>
      <c r="H50" s="780"/>
      <c r="I50" s="780"/>
      <c r="J50" s="780"/>
      <c r="K50" s="780"/>
      <c r="L50" s="780"/>
      <c r="M50" s="780"/>
      <c r="N50" s="780"/>
      <c r="O50" s="780"/>
      <c r="P50" s="780"/>
      <c r="Q50" s="781"/>
    </row>
    <row r="51" spans="1:17" ht="29.25" customHeight="1">
      <c r="A51" s="675" t="s">
        <v>365</v>
      </c>
      <c r="B51" s="445" t="s">
        <v>395</v>
      </c>
      <c r="C51" s="675" t="s">
        <v>42</v>
      </c>
      <c r="D51" s="720" t="s">
        <v>371</v>
      </c>
      <c r="E51" s="799">
        <f>SUM(F51:J52)</f>
        <v>4377</v>
      </c>
      <c r="F51" s="799">
        <v>853</v>
      </c>
      <c r="G51" s="799">
        <v>881</v>
      </c>
      <c r="H51" s="799">
        <v>881</v>
      </c>
      <c r="I51" s="799">
        <v>881</v>
      </c>
      <c r="J51" s="799">
        <v>881</v>
      </c>
      <c r="K51" s="615" t="s">
        <v>366</v>
      </c>
      <c r="L51" s="675">
        <v>100</v>
      </c>
      <c r="M51" s="675">
        <v>100</v>
      </c>
      <c r="N51" s="675">
        <v>100</v>
      </c>
      <c r="O51" s="675">
        <v>100</v>
      </c>
      <c r="P51" s="675">
        <v>100</v>
      </c>
      <c r="Q51" s="586" t="s">
        <v>367</v>
      </c>
    </row>
    <row r="52" spans="1:17" ht="18" customHeight="1">
      <c r="A52" s="676"/>
      <c r="B52" s="677"/>
      <c r="C52" s="676"/>
      <c r="D52" s="800"/>
      <c r="E52" s="801"/>
      <c r="F52" s="801"/>
      <c r="G52" s="801"/>
      <c r="H52" s="801"/>
      <c r="I52" s="801"/>
      <c r="J52" s="801"/>
      <c r="K52" s="681"/>
      <c r="L52" s="678"/>
      <c r="M52" s="678"/>
      <c r="N52" s="678"/>
      <c r="O52" s="678"/>
      <c r="P52" s="678"/>
      <c r="Q52" s="647"/>
    </row>
    <row r="53" spans="1:17" ht="124.5" customHeight="1" thickBot="1">
      <c r="A53" s="249" t="s">
        <v>368</v>
      </c>
      <c r="B53" s="364" t="s">
        <v>369</v>
      </c>
      <c r="C53" s="365"/>
      <c r="D53" s="402" t="s">
        <v>371</v>
      </c>
      <c r="E53" s="794">
        <f>SUM(F53:J53)</f>
        <v>87.7</v>
      </c>
      <c r="F53" s="794">
        <v>13.1</v>
      </c>
      <c r="G53" s="794">
        <v>8.6</v>
      </c>
      <c r="H53" s="795">
        <f>8.6+13.4</f>
        <v>22</v>
      </c>
      <c r="I53" s="795">
        <f>8.6+13.4</f>
        <v>22</v>
      </c>
      <c r="J53" s="795">
        <f>8.6+13.4</f>
        <v>22</v>
      </c>
      <c r="K53" s="616"/>
      <c r="L53" s="679"/>
      <c r="M53" s="679"/>
      <c r="N53" s="679"/>
      <c r="O53" s="679"/>
      <c r="P53" s="679"/>
      <c r="Q53" s="648"/>
    </row>
    <row r="54" spans="1:17" ht="22.5" customHeight="1" thickBot="1">
      <c r="A54" s="363"/>
      <c r="B54" s="323" t="s">
        <v>370</v>
      </c>
      <c r="C54" s="251"/>
      <c r="D54" s="361" t="s">
        <v>371</v>
      </c>
      <c r="E54" s="252">
        <f>SUM(F54:J54)</f>
        <v>4464.7</v>
      </c>
      <c r="F54" s="252">
        <f>SUM(F51:F53)</f>
        <v>866.1</v>
      </c>
      <c r="G54" s="252">
        <f>SUM(G51:G53)</f>
        <v>889.6</v>
      </c>
      <c r="H54" s="252">
        <f>SUM(H51:H53)</f>
        <v>903</v>
      </c>
      <c r="I54" s="252">
        <f>SUM(I51:I53)</f>
        <v>903</v>
      </c>
      <c r="J54" s="261">
        <f>SUM(J51:J53)</f>
        <v>903</v>
      </c>
      <c r="K54" s="262"/>
      <c r="L54" s="253"/>
      <c r="M54" s="253"/>
      <c r="N54" s="253"/>
      <c r="O54" s="263"/>
      <c r="P54" s="263"/>
      <c r="Q54" s="264"/>
    </row>
    <row r="55" spans="1:17" ht="21.75" customHeight="1">
      <c r="A55" s="245"/>
      <c r="B55" s="680" t="s">
        <v>372</v>
      </c>
      <c r="C55" s="780"/>
      <c r="D55" s="780"/>
      <c r="E55" s="780"/>
      <c r="F55" s="780"/>
      <c r="G55" s="780"/>
      <c r="H55" s="780"/>
      <c r="I55" s="780"/>
      <c r="J55" s="780"/>
      <c r="K55" s="780"/>
      <c r="L55" s="780"/>
      <c r="M55" s="780"/>
      <c r="N55" s="780"/>
      <c r="O55" s="780"/>
      <c r="P55" s="780"/>
      <c r="Q55" s="781"/>
    </row>
    <row r="56" spans="1:17" ht="57.75" customHeight="1">
      <c r="A56" s="675" t="s">
        <v>373</v>
      </c>
      <c r="B56" s="445" t="s">
        <v>374</v>
      </c>
      <c r="C56" s="675" t="s">
        <v>42</v>
      </c>
      <c r="D56" s="402" t="s">
        <v>310</v>
      </c>
      <c r="E56" s="793">
        <f>SUM(F56:J56)</f>
        <v>7568.400000000001</v>
      </c>
      <c r="F56" s="793">
        <v>4447.2</v>
      </c>
      <c r="G56" s="798">
        <f>777.8+10</f>
        <v>787.8</v>
      </c>
      <c r="H56" s="793">
        <v>777.8</v>
      </c>
      <c r="I56" s="793">
        <v>777.8</v>
      </c>
      <c r="J56" s="793">
        <v>777.8</v>
      </c>
      <c r="K56" s="242" t="s">
        <v>375</v>
      </c>
      <c r="L56" s="265"/>
      <c r="M56" s="265"/>
      <c r="N56" s="265"/>
      <c r="O56" s="265"/>
      <c r="P56" s="265"/>
      <c r="Q56" s="672" t="s">
        <v>376</v>
      </c>
    </row>
    <row r="57" spans="1:17" ht="39" customHeight="1" thickBot="1">
      <c r="A57" s="676"/>
      <c r="B57" s="677"/>
      <c r="C57" s="676"/>
      <c r="D57" s="396" t="s">
        <v>5</v>
      </c>
      <c r="E57" s="399">
        <f>SUM(F57:J57)</f>
        <v>7568.400000000001</v>
      </c>
      <c r="F57" s="399">
        <v>4447.2</v>
      </c>
      <c r="G57" s="797">
        <f>777.8+10</f>
        <v>787.8</v>
      </c>
      <c r="H57" s="399">
        <v>777.8</v>
      </c>
      <c r="I57" s="399">
        <v>777.8</v>
      </c>
      <c r="J57" s="399">
        <v>777.8</v>
      </c>
      <c r="K57" s="242" t="s">
        <v>377</v>
      </c>
      <c r="L57" s="257">
        <v>4</v>
      </c>
      <c r="M57" s="257">
        <v>4</v>
      </c>
      <c r="N57" s="257">
        <v>4</v>
      </c>
      <c r="O57" s="257">
        <v>4</v>
      </c>
      <c r="P57" s="257">
        <v>4</v>
      </c>
      <c r="Q57" s="673"/>
    </row>
    <row r="58" spans="1:17" ht="21.75" customHeight="1" thickBot="1">
      <c r="A58" s="330"/>
      <c r="B58" s="323" t="s">
        <v>378</v>
      </c>
      <c r="C58" s="251"/>
      <c r="D58" s="361" t="s">
        <v>310</v>
      </c>
      <c r="E58" s="252">
        <f>SUM(F58:J58)</f>
        <v>7568.400000000001</v>
      </c>
      <c r="F58" s="252">
        <f>F56</f>
        <v>4447.2</v>
      </c>
      <c r="G58" s="252">
        <f>G56</f>
        <v>787.8</v>
      </c>
      <c r="H58" s="252">
        <f>H56</f>
        <v>777.8</v>
      </c>
      <c r="I58" s="252">
        <f>I56</f>
        <v>777.8</v>
      </c>
      <c r="J58" s="261">
        <f>J56</f>
        <v>777.8</v>
      </c>
      <c r="K58" s="248"/>
      <c r="L58" s="253"/>
      <c r="M58" s="253"/>
      <c r="N58" s="253"/>
      <c r="O58" s="253"/>
      <c r="P58" s="253"/>
      <c r="Q58" s="244"/>
    </row>
    <row r="59" spans="1:17" ht="13.5" customHeight="1">
      <c r="A59" s="426"/>
      <c r="B59" s="434" t="s">
        <v>13</v>
      </c>
      <c r="C59" s="674"/>
      <c r="D59" s="366" t="s">
        <v>11</v>
      </c>
      <c r="E59" s="665">
        <f>SUM(F59:J60)</f>
        <v>32426.3</v>
      </c>
      <c r="F59" s="665">
        <f>SUM(F61:F62)</f>
        <v>8816.500000000002</v>
      </c>
      <c r="G59" s="665">
        <f>SUM(G61:G62)</f>
        <v>5937.400000000001</v>
      </c>
      <c r="H59" s="665">
        <f>SUM(H61:H62)</f>
        <v>5890.8</v>
      </c>
      <c r="I59" s="665">
        <f>SUM(I61:I62)</f>
        <v>5890.8</v>
      </c>
      <c r="J59" s="667">
        <f>SUM(J61:J62)</f>
        <v>5890.8</v>
      </c>
      <c r="K59" s="641"/>
      <c r="L59" s="426"/>
      <c r="M59" s="426"/>
      <c r="N59" s="426"/>
      <c r="O59" s="426"/>
      <c r="P59" s="426"/>
      <c r="Q59" s="426"/>
    </row>
    <row r="60" spans="1:17" ht="10.5" customHeight="1">
      <c r="A60" s="426"/>
      <c r="B60" s="434"/>
      <c r="C60" s="674"/>
      <c r="D60" s="367" t="s">
        <v>12</v>
      </c>
      <c r="E60" s="666"/>
      <c r="F60" s="666"/>
      <c r="G60" s="666"/>
      <c r="H60" s="666"/>
      <c r="I60" s="666"/>
      <c r="J60" s="668"/>
      <c r="K60" s="669"/>
      <c r="L60" s="426"/>
      <c r="M60" s="426"/>
      <c r="N60" s="426"/>
      <c r="O60" s="426"/>
      <c r="P60" s="426"/>
      <c r="Q60" s="426"/>
    </row>
    <row r="61" spans="1:17" ht="13.5" customHeight="1">
      <c r="A61" s="426"/>
      <c r="B61" s="434"/>
      <c r="C61" s="674"/>
      <c r="D61" s="367" t="s">
        <v>5</v>
      </c>
      <c r="E61" s="328">
        <f>SUM(F61:J61)</f>
        <v>27961.6</v>
      </c>
      <c r="F61" s="328">
        <f>SUM(F58,F49,F45,F41,F37,F32,F27,F22,F17,F12)</f>
        <v>7950.4000000000015</v>
      </c>
      <c r="G61" s="328">
        <f>SUM(G58,G49,G45,G41,G37,G32,G27,G22,G17,G12)</f>
        <v>5047.8</v>
      </c>
      <c r="H61" s="328">
        <f>SUM(H58,H49,H45,H41,H37,H32,H27,H22,H17,H12)</f>
        <v>4987.8</v>
      </c>
      <c r="I61" s="328">
        <f>SUM(I58,I49,I45,I41,I37,I32,I27,I22,I17,I12)</f>
        <v>4987.8</v>
      </c>
      <c r="J61" s="329">
        <f>SUM(J58,J49,J45,J41,J37,J32,J27,J22,J17,J12)</f>
        <v>4987.8</v>
      </c>
      <c r="K61" s="669"/>
      <c r="L61" s="426"/>
      <c r="M61" s="426"/>
      <c r="N61" s="426"/>
      <c r="O61" s="426"/>
      <c r="P61" s="426"/>
      <c r="Q61" s="426"/>
    </row>
    <row r="62" spans="1:17" ht="14.25" customHeight="1" thickBot="1">
      <c r="A62" s="426"/>
      <c r="B62" s="434"/>
      <c r="C62" s="674"/>
      <c r="D62" s="368" t="s">
        <v>6</v>
      </c>
      <c r="E62" s="369">
        <f>SUM(F62:J62)</f>
        <v>4464.7</v>
      </c>
      <c r="F62" s="369">
        <f>F54</f>
        <v>866.1</v>
      </c>
      <c r="G62" s="369">
        <f>G54</f>
        <v>889.6</v>
      </c>
      <c r="H62" s="369">
        <f>H54</f>
        <v>903</v>
      </c>
      <c r="I62" s="369">
        <f>I54</f>
        <v>903</v>
      </c>
      <c r="J62" s="370">
        <f>J54</f>
        <v>903</v>
      </c>
      <c r="K62" s="639"/>
      <c r="L62" s="426"/>
      <c r="M62" s="426"/>
      <c r="N62" s="426"/>
      <c r="O62" s="426"/>
      <c r="P62" s="426"/>
      <c r="Q62" s="426"/>
    </row>
    <row r="65" spans="8:10" ht="18.75" customHeight="1">
      <c r="H65" s="266"/>
      <c r="I65" s="266"/>
      <c r="J65" s="266"/>
    </row>
    <row r="67" spans="8:10" ht="18.75" customHeight="1">
      <c r="H67" s="266"/>
      <c r="I67" s="266"/>
      <c r="J67" s="266"/>
    </row>
  </sheetData>
  <sheetProtection/>
  <mergeCells count="114">
    <mergeCell ref="Q9:Q11"/>
    <mergeCell ref="E15:E16"/>
    <mergeCell ref="F15:F16"/>
    <mergeCell ref="G15:G16"/>
    <mergeCell ref="H15:H16"/>
    <mergeCell ref="I15:I16"/>
    <mergeCell ref="J15:J16"/>
    <mergeCell ref="K10:K11"/>
    <mergeCell ref="L10:L11"/>
    <mergeCell ref="M10:M11"/>
    <mergeCell ref="N10:N11"/>
    <mergeCell ref="O10:O11"/>
    <mergeCell ref="P10:P11"/>
    <mergeCell ref="B23:Q23"/>
    <mergeCell ref="B18:Q18"/>
    <mergeCell ref="A9:A11"/>
    <mergeCell ref="D20:D21"/>
    <mergeCell ref="E20:E21"/>
    <mergeCell ref="F20:F21"/>
    <mergeCell ref="G20:G21"/>
    <mergeCell ref="H20:H21"/>
    <mergeCell ref="I20:I21"/>
    <mergeCell ref="J20:J21"/>
    <mergeCell ref="B50:Q50"/>
    <mergeCell ref="B46:Q46"/>
    <mergeCell ref="B42:Q42"/>
    <mergeCell ref="B38:Q38"/>
    <mergeCell ref="B33:Q33"/>
    <mergeCell ref="B28:Q28"/>
    <mergeCell ref="H1:Q1"/>
    <mergeCell ref="A2:Q2"/>
    <mergeCell ref="A4:A5"/>
    <mergeCell ref="B4:B5"/>
    <mergeCell ref="C4:C5"/>
    <mergeCell ref="D4:D5"/>
    <mergeCell ref="E4:J4"/>
    <mergeCell ref="K4:P4"/>
    <mergeCell ref="Q4:Q5"/>
    <mergeCell ref="B7:Q7"/>
    <mergeCell ref="B8:Q8"/>
    <mergeCell ref="B9:B10"/>
    <mergeCell ref="C9:C10"/>
    <mergeCell ref="D15:D16"/>
    <mergeCell ref="B13:Q13"/>
    <mergeCell ref="A14:A16"/>
    <mergeCell ref="B14:B16"/>
    <mergeCell ref="C14:C16"/>
    <mergeCell ref="Q14:Q16"/>
    <mergeCell ref="A19:A21"/>
    <mergeCell ref="B19:B21"/>
    <mergeCell ref="C19:C21"/>
    <mergeCell ref="Q19:Q21"/>
    <mergeCell ref="A24:A26"/>
    <mergeCell ref="B24:B26"/>
    <mergeCell ref="C24:C26"/>
    <mergeCell ref="Q24:Q26"/>
    <mergeCell ref="A29:A31"/>
    <mergeCell ref="B29:B31"/>
    <mergeCell ref="C29:C31"/>
    <mergeCell ref="Q29:Q31"/>
    <mergeCell ref="A34:A36"/>
    <mergeCell ref="B34:B36"/>
    <mergeCell ref="C34:C36"/>
    <mergeCell ref="Q34:Q36"/>
    <mergeCell ref="A39:A40"/>
    <mergeCell ref="B39:B40"/>
    <mergeCell ref="C39:C40"/>
    <mergeCell ref="Q39:Q40"/>
    <mergeCell ref="A43:A44"/>
    <mergeCell ref="B43:B44"/>
    <mergeCell ref="C43:C44"/>
    <mergeCell ref="Q43:Q44"/>
    <mergeCell ref="A47:A48"/>
    <mergeCell ref="B47:B48"/>
    <mergeCell ref="C47:C48"/>
    <mergeCell ref="Q47:Q48"/>
    <mergeCell ref="J51:J52"/>
    <mergeCell ref="K51:K53"/>
    <mergeCell ref="L51:L53"/>
    <mergeCell ref="A51:A52"/>
    <mergeCell ref="B51:B52"/>
    <mergeCell ref="C51:C52"/>
    <mergeCell ref="D51:D52"/>
    <mergeCell ref="E51:E52"/>
    <mergeCell ref="F51:F52"/>
    <mergeCell ref="M51:M53"/>
    <mergeCell ref="N51:N53"/>
    <mergeCell ref="O51:O53"/>
    <mergeCell ref="P51:P53"/>
    <mergeCell ref="Q51:Q53"/>
    <mergeCell ref="B55:Q55"/>
    <mergeCell ref="G51:G52"/>
    <mergeCell ref="H51:H52"/>
    <mergeCell ref="I51:I52"/>
    <mergeCell ref="A59:A62"/>
    <mergeCell ref="B59:B62"/>
    <mergeCell ref="C59:C62"/>
    <mergeCell ref="E59:E60"/>
    <mergeCell ref="F59:F60"/>
    <mergeCell ref="A56:A57"/>
    <mergeCell ref="B56:B57"/>
    <mergeCell ref="C56:C57"/>
    <mergeCell ref="Q56:Q57"/>
    <mergeCell ref="M59:M62"/>
    <mergeCell ref="N59:N62"/>
    <mergeCell ref="O59:O62"/>
    <mergeCell ref="P59:P62"/>
    <mergeCell ref="Q59:Q62"/>
    <mergeCell ref="G59:G60"/>
    <mergeCell ref="H59:H60"/>
    <mergeCell ref="I59:I60"/>
    <mergeCell ref="J59:J60"/>
    <mergeCell ref="K59:K62"/>
    <mergeCell ref="L59:L62"/>
  </mergeCells>
  <printOptions/>
  <pageMargins left="0.7086614173228347" right="0.7086614173228347" top="0.5118110236220472" bottom="0.4724409448818898" header="0.31496062992125984" footer="0.31496062992125984"/>
  <pageSetup fitToHeight="4" fitToWidth="1"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O29"/>
  <sheetViews>
    <sheetView zoomScaleSheetLayoutView="100" workbookViewId="0" topLeftCell="A1">
      <pane ySplit="6" topLeftCell="A10" activePane="bottomLeft" state="frozen"/>
      <selection pane="topLeft" activeCell="A1" sqref="A1"/>
      <selection pane="bottomLeft" activeCell="A2" sqref="A2:O2"/>
    </sheetView>
  </sheetViews>
  <sheetFormatPr defaultColWidth="19.7109375" defaultRowHeight="18.75" customHeight="1"/>
  <cols>
    <col min="1" max="1" width="3.421875" style="27" customWidth="1"/>
    <col min="2" max="2" width="19.7109375" style="310" customWidth="1"/>
    <col min="3" max="3" width="6.28125" style="311" customWidth="1"/>
    <col min="4" max="4" width="6.00390625" style="3" customWidth="1"/>
    <col min="5" max="6" width="7.7109375" style="3" customWidth="1"/>
    <col min="7" max="9" width="7.8515625" style="3" customWidth="1"/>
    <col min="10" max="10" width="56.7109375" style="1" customWidth="1"/>
    <col min="11" max="11" width="5.57421875" style="1" customWidth="1"/>
    <col min="12" max="14" width="5.421875" style="1" customWidth="1"/>
    <col min="15" max="15" width="18.421875" style="1" customWidth="1"/>
    <col min="16" max="16384" width="19.7109375" style="1" customWidth="1"/>
  </cols>
  <sheetData>
    <row r="1" spans="6:15" ht="26.25" customHeight="1">
      <c r="F1" s="592" t="s">
        <v>393</v>
      </c>
      <c r="G1" s="592"/>
      <c r="H1" s="592"/>
      <c r="I1" s="592"/>
      <c r="J1" s="592"/>
      <c r="K1" s="592"/>
      <c r="L1" s="592"/>
      <c r="M1" s="592"/>
      <c r="N1" s="592"/>
      <c r="O1" s="592"/>
    </row>
    <row r="2" spans="1:15" ht="39" customHeight="1">
      <c r="A2" s="719" t="s">
        <v>380</v>
      </c>
      <c r="B2" s="719"/>
      <c r="C2" s="719"/>
      <c r="D2" s="719"/>
      <c r="E2" s="719"/>
      <c r="F2" s="719"/>
      <c r="G2" s="719"/>
      <c r="H2" s="719"/>
      <c r="I2" s="719"/>
      <c r="J2" s="719"/>
      <c r="K2" s="719"/>
      <c r="L2" s="719"/>
      <c r="M2" s="719"/>
      <c r="N2" s="719"/>
      <c r="O2" s="719"/>
    </row>
    <row r="3" ht="11.25" customHeight="1">
      <c r="O3" s="32" t="s">
        <v>7</v>
      </c>
    </row>
    <row r="4" spans="1:15" s="70" customFormat="1" ht="39" customHeight="1">
      <c r="A4" s="595" t="s">
        <v>16</v>
      </c>
      <c r="B4" s="720" t="s">
        <v>15</v>
      </c>
      <c r="C4" s="595" t="s">
        <v>8</v>
      </c>
      <c r="D4" s="595" t="s">
        <v>9</v>
      </c>
      <c r="E4" s="722" t="s">
        <v>0</v>
      </c>
      <c r="F4" s="723"/>
      <c r="G4" s="723"/>
      <c r="H4" s="723"/>
      <c r="I4" s="724"/>
      <c r="J4" s="725" t="s">
        <v>17</v>
      </c>
      <c r="K4" s="726"/>
      <c r="L4" s="726"/>
      <c r="M4" s="726"/>
      <c r="N4" s="727"/>
      <c r="O4" s="595" t="s">
        <v>14</v>
      </c>
    </row>
    <row r="5" spans="1:15" ht="15" customHeight="1">
      <c r="A5" s="596"/>
      <c r="B5" s="721"/>
      <c r="C5" s="596"/>
      <c r="D5" s="596"/>
      <c r="E5" s="115" t="s">
        <v>1</v>
      </c>
      <c r="F5" s="115">
        <v>2015</v>
      </c>
      <c r="G5" s="115">
        <v>2016</v>
      </c>
      <c r="H5" s="115">
        <v>2017</v>
      </c>
      <c r="I5" s="115">
        <v>2018</v>
      </c>
      <c r="J5" s="115" t="s">
        <v>4</v>
      </c>
      <c r="K5" s="115">
        <v>2015</v>
      </c>
      <c r="L5" s="115">
        <v>2016</v>
      </c>
      <c r="M5" s="115">
        <v>2017</v>
      </c>
      <c r="N5" s="115">
        <v>2018</v>
      </c>
      <c r="O5" s="596"/>
    </row>
    <row r="6" spans="1:15" ht="10.5" customHeight="1">
      <c r="A6" s="273">
        <v>1</v>
      </c>
      <c r="B6" s="302">
        <v>2</v>
      </c>
      <c r="C6" s="273">
        <v>3</v>
      </c>
      <c r="D6" s="273">
        <v>4</v>
      </c>
      <c r="E6" s="273">
        <v>5</v>
      </c>
      <c r="F6" s="273">
        <v>7</v>
      </c>
      <c r="G6" s="273">
        <v>8</v>
      </c>
      <c r="H6" s="273">
        <v>9</v>
      </c>
      <c r="I6" s="273">
        <v>10</v>
      </c>
      <c r="J6" s="273">
        <v>11</v>
      </c>
      <c r="K6" s="273">
        <v>12</v>
      </c>
      <c r="L6" s="273">
        <v>13</v>
      </c>
      <c r="M6" s="273">
        <v>14</v>
      </c>
      <c r="N6" s="273">
        <v>15</v>
      </c>
      <c r="O6" s="273">
        <v>16</v>
      </c>
    </row>
    <row r="7" spans="1:15" ht="24" customHeight="1">
      <c r="A7" s="288"/>
      <c r="B7" s="445" t="s">
        <v>381</v>
      </c>
      <c r="C7" s="445"/>
      <c r="D7" s="445"/>
      <c r="E7" s="445"/>
      <c r="F7" s="445"/>
      <c r="G7" s="445"/>
      <c r="H7" s="445"/>
      <c r="I7" s="445"/>
      <c r="J7" s="445"/>
      <c r="K7" s="445"/>
      <c r="L7" s="445"/>
      <c r="M7" s="445"/>
      <c r="N7" s="445"/>
      <c r="O7" s="445"/>
    </row>
    <row r="8" spans="1:15" ht="15" customHeight="1">
      <c r="A8" s="60" t="s">
        <v>72</v>
      </c>
      <c r="B8" s="712" t="s">
        <v>382</v>
      </c>
      <c r="C8" s="712"/>
      <c r="D8" s="712"/>
      <c r="E8" s="712"/>
      <c r="F8" s="712"/>
      <c r="G8" s="712"/>
      <c r="H8" s="712"/>
      <c r="I8" s="712"/>
      <c r="J8" s="712"/>
      <c r="K8" s="712"/>
      <c r="L8" s="712"/>
      <c r="M8" s="712"/>
      <c r="N8" s="712"/>
      <c r="O8" s="713"/>
    </row>
    <row r="9" spans="1:15" ht="23.25" customHeight="1">
      <c r="A9" s="714" t="s">
        <v>10</v>
      </c>
      <c r="B9" s="643" t="s">
        <v>383</v>
      </c>
      <c r="C9" s="716" t="s">
        <v>162</v>
      </c>
      <c r="D9" s="172" t="s">
        <v>384</v>
      </c>
      <c r="E9" s="282">
        <f>E10</f>
        <v>58457.2</v>
      </c>
      <c r="F9" s="282">
        <f>F10</f>
        <v>14314.3</v>
      </c>
      <c r="G9" s="282">
        <f>G10</f>
        <v>14714.3</v>
      </c>
      <c r="H9" s="282">
        <f>H10</f>
        <v>14714.3</v>
      </c>
      <c r="I9" s="282">
        <f>I10</f>
        <v>14714.3</v>
      </c>
      <c r="J9" s="172"/>
      <c r="K9" s="172"/>
      <c r="L9" s="172"/>
      <c r="M9" s="172"/>
      <c r="N9" s="172"/>
      <c r="O9" s="172"/>
    </row>
    <row r="10" spans="1:15" ht="36" customHeight="1">
      <c r="A10" s="606"/>
      <c r="B10" s="715"/>
      <c r="C10" s="717"/>
      <c r="D10" s="718" t="s">
        <v>5</v>
      </c>
      <c r="E10" s="708">
        <f>SUM(F10:I10)</f>
        <v>58457.2</v>
      </c>
      <c r="F10" s="708">
        <v>14314.3</v>
      </c>
      <c r="G10" s="708">
        <f>11301.3+3413</f>
        <v>14714.3</v>
      </c>
      <c r="H10" s="708">
        <f>11301.3+3413</f>
        <v>14714.3</v>
      </c>
      <c r="I10" s="708">
        <f>11301.3+3413</f>
        <v>14714.3</v>
      </c>
      <c r="J10" s="244" t="s">
        <v>385</v>
      </c>
      <c r="K10" s="312">
        <v>100</v>
      </c>
      <c r="L10" s="312">
        <v>100</v>
      </c>
      <c r="M10" s="312">
        <v>100</v>
      </c>
      <c r="N10" s="312">
        <v>100</v>
      </c>
      <c r="O10" s="486" t="s">
        <v>386</v>
      </c>
    </row>
    <row r="11" spans="1:15" ht="33.75" customHeight="1">
      <c r="A11" s="606"/>
      <c r="B11" s="715"/>
      <c r="C11" s="717"/>
      <c r="D11" s="718"/>
      <c r="E11" s="708"/>
      <c r="F11" s="708"/>
      <c r="G11" s="708"/>
      <c r="H11" s="708"/>
      <c r="I11" s="708"/>
      <c r="J11" s="244" t="s">
        <v>387</v>
      </c>
      <c r="K11" s="290" t="s">
        <v>388</v>
      </c>
      <c r="L11" s="290" t="s">
        <v>388</v>
      </c>
      <c r="M11" s="290" t="s">
        <v>388</v>
      </c>
      <c r="N11" s="290" t="s">
        <v>388</v>
      </c>
      <c r="O11" s="486"/>
    </row>
    <row r="12" spans="1:15" ht="24" customHeight="1" thickBot="1">
      <c r="A12" s="606"/>
      <c r="B12" s="715"/>
      <c r="C12" s="717"/>
      <c r="D12" s="675"/>
      <c r="E12" s="709"/>
      <c r="F12" s="709"/>
      <c r="G12" s="709"/>
      <c r="H12" s="709"/>
      <c r="I12" s="709"/>
      <c r="J12" s="244" t="s">
        <v>389</v>
      </c>
      <c r="K12" s="312">
        <v>100</v>
      </c>
      <c r="L12" s="312">
        <v>100</v>
      </c>
      <c r="M12" s="312">
        <v>100</v>
      </c>
      <c r="N12" s="312">
        <v>100</v>
      </c>
      <c r="O12" s="486"/>
    </row>
    <row r="13" spans="1:15" ht="11.25" customHeight="1">
      <c r="A13" s="477"/>
      <c r="B13" s="699" t="s">
        <v>23</v>
      </c>
      <c r="C13" s="700"/>
      <c r="D13" s="710" t="s">
        <v>384</v>
      </c>
      <c r="E13" s="665">
        <f>SUM(F13:I14)</f>
        <v>58457.2</v>
      </c>
      <c r="F13" s="665">
        <f>SUM(F15:F15)</f>
        <v>14314.3</v>
      </c>
      <c r="G13" s="665">
        <f>SUM(G15:G15)</f>
        <v>14714.3</v>
      </c>
      <c r="H13" s="665">
        <f>SUM(H15:H15)</f>
        <v>14714.3</v>
      </c>
      <c r="I13" s="667">
        <f>SUM(I15:I15)</f>
        <v>14714.3</v>
      </c>
      <c r="J13" s="669"/>
      <c r="K13" s="477"/>
      <c r="L13" s="477"/>
      <c r="M13" s="477"/>
      <c r="N13" s="477"/>
      <c r="O13" s="477"/>
    </row>
    <row r="14" spans="1:15" ht="11.25" customHeight="1">
      <c r="A14" s="477"/>
      <c r="B14" s="699"/>
      <c r="C14" s="700"/>
      <c r="D14" s="711"/>
      <c r="E14" s="666"/>
      <c r="F14" s="666"/>
      <c r="G14" s="666"/>
      <c r="H14" s="666"/>
      <c r="I14" s="668"/>
      <c r="J14" s="669"/>
      <c r="K14" s="477"/>
      <c r="L14" s="477"/>
      <c r="M14" s="477"/>
      <c r="N14" s="477"/>
      <c r="O14" s="477"/>
    </row>
    <row r="15" spans="1:15" ht="11.25" customHeight="1">
      <c r="A15" s="477"/>
      <c r="B15" s="699"/>
      <c r="C15" s="700"/>
      <c r="D15" s="353" t="s">
        <v>5</v>
      </c>
      <c r="E15" s="324">
        <f>SUM(E10)</f>
        <v>58457.2</v>
      </c>
      <c r="F15" s="324">
        <f>SUM(F10)</f>
        <v>14314.3</v>
      </c>
      <c r="G15" s="324">
        <f>SUM(G10)</f>
        <v>14714.3</v>
      </c>
      <c r="H15" s="324">
        <f>SUM(H10)</f>
        <v>14714.3</v>
      </c>
      <c r="I15" s="123">
        <f>SUM(I10)</f>
        <v>14714.3</v>
      </c>
      <c r="J15" s="669"/>
      <c r="K15" s="477"/>
      <c r="L15" s="477"/>
      <c r="M15" s="477"/>
      <c r="N15" s="477"/>
      <c r="O15" s="477"/>
    </row>
    <row r="16" spans="1:15" ht="11.25" customHeight="1" thickBot="1">
      <c r="A16" s="463"/>
      <c r="B16" s="567"/>
      <c r="C16" s="701"/>
      <c r="D16" s="317" t="s">
        <v>6</v>
      </c>
      <c r="E16" s="125">
        <v>0</v>
      </c>
      <c r="F16" s="125">
        <v>0</v>
      </c>
      <c r="G16" s="125">
        <v>0</v>
      </c>
      <c r="H16" s="125">
        <v>0</v>
      </c>
      <c r="I16" s="126">
        <v>0</v>
      </c>
      <c r="J16" s="694"/>
      <c r="K16" s="463"/>
      <c r="L16" s="463"/>
      <c r="M16" s="463"/>
      <c r="N16" s="463"/>
      <c r="O16" s="463"/>
    </row>
    <row r="17" spans="1:15" ht="12.75" customHeight="1">
      <c r="A17" s="313" t="s">
        <v>24</v>
      </c>
      <c r="B17" s="703" t="s">
        <v>390</v>
      </c>
      <c r="C17" s="703"/>
      <c r="D17" s="704"/>
      <c r="E17" s="704"/>
      <c r="F17" s="704"/>
      <c r="G17" s="704"/>
      <c r="H17" s="704"/>
      <c r="I17" s="704"/>
      <c r="J17" s="703"/>
      <c r="K17" s="703"/>
      <c r="L17" s="703"/>
      <c r="M17" s="703"/>
      <c r="N17" s="703"/>
      <c r="O17" s="703"/>
    </row>
    <row r="18" spans="1:15" ht="22.5" customHeight="1">
      <c r="A18" s="675" t="s">
        <v>26</v>
      </c>
      <c r="B18" s="488" t="s">
        <v>394</v>
      </c>
      <c r="C18" s="586" t="s">
        <v>162</v>
      </c>
      <c r="D18" s="172" t="s">
        <v>384</v>
      </c>
      <c r="E18" s="269">
        <f>E19</f>
        <v>6933.2</v>
      </c>
      <c r="F18" s="269">
        <f>F19</f>
        <v>1812.8</v>
      </c>
      <c r="G18" s="269">
        <f>G19</f>
        <v>1706.8</v>
      </c>
      <c r="H18" s="269">
        <f>H19</f>
        <v>1706.8</v>
      </c>
      <c r="I18" s="269">
        <f>I19</f>
        <v>1706.8</v>
      </c>
      <c r="J18" s="184"/>
      <c r="K18" s="184"/>
      <c r="L18" s="184"/>
      <c r="M18" s="184"/>
      <c r="N18" s="184"/>
      <c r="O18" s="184"/>
    </row>
    <row r="19" spans="1:15" ht="12.75" customHeight="1">
      <c r="A19" s="705"/>
      <c r="B19" s="574"/>
      <c r="C19" s="582"/>
      <c r="D19" s="675" t="s">
        <v>5</v>
      </c>
      <c r="E19" s="671">
        <f>SUM(F19:I19)</f>
        <v>6933.2</v>
      </c>
      <c r="F19" s="670">
        <f>1836.8-24</f>
        <v>1812.8</v>
      </c>
      <c r="G19" s="671">
        <f>2006.8-300</f>
        <v>1706.8</v>
      </c>
      <c r="H19" s="671">
        <f>2006.8-300</f>
        <v>1706.8</v>
      </c>
      <c r="I19" s="671">
        <f>2006.8-300</f>
        <v>1706.8</v>
      </c>
      <c r="J19" s="545" t="s">
        <v>391</v>
      </c>
      <c r="K19" s="702">
        <v>100</v>
      </c>
      <c r="L19" s="702">
        <v>100</v>
      </c>
      <c r="M19" s="702">
        <v>100</v>
      </c>
      <c r="N19" s="702">
        <v>100</v>
      </c>
      <c r="O19" s="486" t="s">
        <v>386</v>
      </c>
    </row>
    <row r="20" spans="1:15" ht="11.25" customHeight="1">
      <c r="A20" s="705"/>
      <c r="B20" s="574"/>
      <c r="C20" s="582"/>
      <c r="D20" s="678"/>
      <c r="E20" s="682"/>
      <c r="F20" s="707"/>
      <c r="G20" s="682"/>
      <c r="H20" s="682"/>
      <c r="I20" s="682"/>
      <c r="J20" s="545"/>
      <c r="K20" s="448"/>
      <c r="L20" s="448"/>
      <c r="M20" s="448"/>
      <c r="N20" s="448"/>
      <c r="O20" s="486"/>
    </row>
    <row r="21" spans="1:15" ht="24.75" customHeight="1" thickBot="1">
      <c r="A21" s="706"/>
      <c r="B21" s="575"/>
      <c r="C21" s="583"/>
      <c r="D21" s="678"/>
      <c r="E21" s="682"/>
      <c r="F21" s="707"/>
      <c r="G21" s="682"/>
      <c r="H21" s="682"/>
      <c r="I21" s="682"/>
      <c r="J21" s="314" t="s">
        <v>392</v>
      </c>
      <c r="K21" s="312">
        <v>100</v>
      </c>
      <c r="L21" s="312">
        <v>100</v>
      </c>
      <c r="M21" s="312">
        <v>100</v>
      </c>
      <c r="N21" s="312">
        <v>100</v>
      </c>
      <c r="O21" s="486"/>
    </row>
    <row r="22" spans="1:15" ht="10.5" customHeight="1">
      <c r="A22" s="461"/>
      <c r="B22" s="698" t="s">
        <v>43</v>
      </c>
      <c r="C22" s="446"/>
      <c r="D22" s="315" t="s">
        <v>11</v>
      </c>
      <c r="E22" s="665">
        <f>SUM(F22:I22)</f>
        <v>6933.2</v>
      </c>
      <c r="F22" s="665">
        <f>SUM(F24:F24)</f>
        <v>1812.8</v>
      </c>
      <c r="G22" s="665">
        <f>SUM(G24:G24)</f>
        <v>1706.8</v>
      </c>
      <c r="H22" s="665">
        <f>SUM(H24:H24)</f>
        <v>1706.8</v>
      </c>
      <c r="I22" s="667">
        <f>SUM(I24:I24)</f>
        <v>1706.8</v>
      </c>
      <c r="J22" s="641"/>
      <c r="K22" s="461"/>
      <c r="L22" s="461"/>
      <c r="M22" s="461"/>
      <c r="N22" s="461"/>
      <c r="O22" s="461"/>
    </row>
    <row r="23" spans="1:15" ht="10.5" customHeight="1">
      <c r="A23" s="477"/>
      <c r="B23" s="699"/>
      <c r="C23" s="700"/>
      <c r="D23" s="316" t="s">
        <v>12</v>
      </c>
      <c r="E23" s="666"/>
      <c r="F23" s="666"/>
      <c r="G23" s="666"/>
      <c r="H23" s="666"/>
      <c r="I23" s="668"/>
      <c r="J23" s="669"/>
      <c r="K23" s="477"/>
      <c r="L23" s="477"/>
      <c r="M23" s="477"/>
      <c r="N23" s="477"/>
      <c r="O23" s="477"/>
    </row>
    <row r="24" spans="1:15" ht="15" customHeight="1">
      <c r="A24" s="477"/>
      <c r="B24" s="699"/>
      <c r="C24" s="700"/>
      <c r="D24" s="353" t="s">
        <v>5</v>
      </c>
      <c r="E24" s="324">
        <f>SUM(E19)</f>
        <v>6933.2</v>
      </c>
      <c r="F24" s="324">
        <f>SUM(F19)</f>
        <v>1812.8</v>
      </c>
      <c r="G24" s="324">
        <f>SUM(G19)</f>
        <v>1706.8</v>
      </c>
      <c r="H24" s="324">
        <f>SUM(H19)</f>
        <v>1706.8</v>
      </c>
      <c r="I24" s="123">
        <f>SUM(I19)</f>
        <v>1706.8</v>
      </c>
      <c r="J24" s="669"/>
      <c r="K24" s="477"/>
      <c r="L24" s="477"/>
      <c r="M24" s="477"/>
      <c r="N24" s="477"/>
      <c r="O24" s="477"/>
    </row>
    <row r="25" spans="1:15" ht="15" customHeight="1" thickBot="1">
      <c r="A25" s="463"/>
      <c r="B25" s="567"/>
      <c r="C25" s="701"/>
      <c r="D25" s="354" t="s">
        <v>6</v>
      </c>
      <c r="E25" s="161">
        <v>0</v>
      </c>
      <c r="F25" s="161">
        <v>0</v>
      </c>
      <c r="G25" s="161">
        <v>0</v>
      </c>
      <c r="H25" s="161">
        <v>0</v>
      </c>
      <c r="I25" s="355">
        <v>0</v>
      </c>
      <c r="J25" s="694"/>
      <c r="K25" s="463"/>
      <c r="L25" s="463"/>
      <c r="M25" s="463"/>
      <c r="N25" s="463"/>
      <c r="O25" s="463"/>
    </row>
    <row r="26" spans="1:15" s="319" customFormat="1" ht="12" customHeight="1">
      <c r="A26" s="615"/>
      <c r="B26" s="695" t="s">
        <v>13</v>
      </c>
      <c r="C26" s="626"/>
      <c r="D26" s="318" t="s">
        <v>11</v>
      </c>
      <c r="E26" s="690">
        <f>SUM(E28:E28)</f>
        <v>65390.399999999994</v>
      </c>
      <c r="F26" s="690">
        <f>SUM(F28:F28)</f>
        <v>16127.099999999999</v>
      </c>
      <c r="G26" s="690">
        <f>SUM(G28:G28)</f>
        <v>16421.1</v>
      </c>
      <c r="H26" s="690">
        <f>SUM(H28:H28)</f>
        <v>16421.1</v>
      </c>
      <c r="I26" s="692">
        <f>SUM(I28:I28)</f>
        <v>16421.1</v>
      </c>
      <c r="J26" s="641"/>
      <c r="K26" s="615"/>
      <c r="L26" s="615"/>
      <c r="M26" s="615"/>
      <c r="N26" s="615"/>
      <c r="O26" s="615"/>
    </row>
    <row r="27" spans="1:15" s="319" customFormat="1" ht="12" customHeight="1">
      <c r="A27" s="681"/>
      <c r="B27" s="696"/>
      <c r="C27" s="697"/>
      <c r="D27" s="320" t="s">
        <v>12</v>
      </c>
      <c r="E27" s="691"/>
      <c r="F27" s="691"/>
      <c r="G27" s="691"/>
      <c r="H27" s="691"/>
      <c r="I27" s="693"/>
      <c r="J27" s="669"/>
      <c r="K27" s="681"/>
      <c r="L27" s="681"/>
      <c r="M27" s="681"/>
      <c r="N27" s="681"/>
      <c r="O27" s="681"/>
    </row>
    <row r="28" spans="1:15" s="319" customFormat="1" ht="12" customHeight="1">
      <c r="A28" s="681"/>
      <c r="B28" s="696"/>
      <c r="C28" s="697"/>
      <c r="D28" s="320" t="s">
        <v>5</v>
      </c>
      <c r="E28" s="327">
        <f>SUM(F28:I28)</f>
        <v>65390.399999999994</v>
      </c>
      <c r="F28" s="322">
        <f>SUM(F15+F24)</f>
        <v>16127.099999999999</v>
      </c>
      <c r="G28" s="327">
        <f>SUM(G15+G24)</f>
        <v>16421.1</v>
      </c>
      <c r="H28" s="327">
        <f>SUM(H15+H24)</f>
        <v>16421.1</v>
      </c>
      <c r="I28" s="326">
        <f>SUM(I15+I24)</f>
        <v>16421.1</v>
      </c>
      <c r="J28" s="669"/>
      <c r="K28" s="681"/>
      <c r="L28" s="681"/>
      <c r="M28" s="681"/>
      <c r="N28" s="681"/>
      <c r="O28" s="681"/>
    </row>
    <row r="29" spans="1:15" s="319" customFormat="1" ht="12" customHeight="1" thickBot="1">
      <c r="A29" s="602"/>
      <c r="B29" s="460"/>
      <c r="C29" s="631"/>
      <c r="D29" s="356" t="s">
        <v>6</v>
      </c>
      <c r="E29" s="357">
        <v>0</v>
      </c>
      <c r="F29" s="357">
        <v>0</v>
      </c>
      <c r="G29" s="357">
        <v>0</v>
      </c>
      <c r="H29" s="357">
        <v>0</v>
      </c>
      <c r="I29" s="358">
        <v>0</v>
      </c>
      <c r="J29" s="694"/>
      <c r="K29" s="602"/>
      <c r="L29" s="602"/>
      <c r="M29" s="602"/>
      <c r="N29" s="602"/>
      <c r="O29" s="602"/>
    </row>
  </sheetData>
  <sheetProtection/>
  <mergeCells count="80">
    <mergeCell ref="F1:O1"/>
    <mergeCell ref="A2:O2"/>
    <mergeCell ref="A4:A5"/>
    <mergeCell ref="B4:B5"/>
    <mergeCell ref="C4:C5"/>
    <mergeCell ref="D4:D5"/>
    <mergeCell ref="E4:I4"/>
    <mergeCell ref="J4:N4"/>
    <mergeCell ref="O4:O5"/>
    <mergeCell ref="B7:O7"/>
    <mergeCell ref="B8:O8"/>
    <mergeCell ref="A9:A12"/>
    <mergeCell ref="B9:B12"/>
    <mergeCell ref="C9:C12"/>
    <mergeCell ref="D10:D12"/>
    <mergeCell ref="E10:E12"/>
    <mergeCell ref="F10:F12"/>
    <mergeCell ref="G10:G12"/>
    <mergeCell ref="H10:H12"/>
    <mergeCell ref="I10:I12"/>
    <mergeCell ref="O10:O12"/>
    <mergeCell ref="A13:A16"/>
    <mergeCell ref="B13:B16"/>
    <mergeCell ref="C13:C16"/>
    <mergeCell ref="D13:D14"/>
    <mergeCell ref="E13:E14"/>
    <mergeCell ref="F13:F14"/>
    <mergeCell ref="G13:G14"/>
    <mergeCell ref="H13:H14"/>
    <mergeCell ref="I13:I14"/>
    <mergeCell ref="J13:J16"/>
    <mergeCell ref="K13:K16"/>
    <mergeCell ref="L13:L16"/>
    <mergeCell ref="M13:M16"/>
    <mergeCell ref="N13:N16"/>
    <mergeCell ref="O13:O16"/>
    <mergeCell ref="B17:O17"/>
    <mergeCell ref="A18:A21"/>
    <mergeCell ref="B18:B21"/>
    <mergeCell ref="C18:C21"/>
    <mergeCell ref="D19:D21"/>
    <mergeCell ref="E19:E21"/>
    <mergeCell ref="F19:F21"/>
    <mergeCell ref="G19:G21"/>
    <mergeCell ref="H19:H21"/>
    <mergeCell ref="I19:I21"/>
    <mergeCell ref="J19:J20"/>
    <mergeCell ref="K19:K20"/>
    <mergeCell ref="L19:L20"/>
    <mergeCell ref="M19:M20"/>
    <mergeCell ref="N19:N20"/>
    <mergeCell ref="O19:O21"/>
    <mergeCell ref="A22:A25"/>
    <mergeCell ref="B22:B25"/>
    <mergeCell ref="C22:C25"/>
    <mergeCell ref="E22:E23"/>
    <mergeCell ref="F22:F23"/>
    <mergeCell ref="G22:G23"/>
    <mergeCell ref="H22:H23"/>
    <mergeCell ref="I22:I23"/>
    <mergeCell ref="J22:J25"/>
    <mergeCell ref="K22:K25"/>
    <mergeCell ref="L22:L25"/>
    <mergeCell ref="M22:M25"/>
    <mergeCell ref="N22:N25"/>
    <mergeCell ref="O22:O25"/>
    <mergeCell ref="A26:A29"/>
    <mergeCell ref="B26:B29"/>
    <mergeCell ref="C26:C29"/>
    <mergeCell ref="E26:E27"/>
    <mergeCell ref="F26:F27"/>
    <mergeCell ref="M26:M29"/>
    <mergeCell ref="N26:N29"/>
    <mergeCell ref="O26:O29"/>
    <mergeCell ref="G26:G27"/>
    <mergeCell ref="H26:H27"/>
    <mergeCell ref="I26:I27"/>
    <mergeCell ref="J26:J29"/>
    <mergeCell ref="K26:K29"/>
    <mergeCell ref="L26:L29"/>
  </mergeCells>
  <printOptions horizontalCentered="1"/>
  <pageMargins left="0.7086614173228347" right="0.5" top="0.56" bottom="0.6" header="0.31496062992125984" footer="0.31496062992125984"/>
  <pageSetup fitToHeight="0" fitToWidth="1" horizontalDpi="600" verticalDpi="600" orientation="landscape" paperSize="9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R53"/>
  <sheetViews>
    <sheetView zoomScaleSheetLayoutView="100" workbookViewId="0" topLeftCell="A1">
      <pane ySplit="345" topLeftCell="A1" activePane="topLeft" state="split"/>
      <selection pane="topLeft" activeCell="A1" sqref="A1"/>
      <selection pane="bottomLeft" activeCell="B8" sqref="B8:Q8"/>
    </sheetView>
  </sheetViews>
  <sheetFormatPr defaultColWidth="19.7109375" defaultRowHeight="18.75" customHeight="1"/>
  <cols>
    <col min="1" max="1" width="5.28125" style="17" customWidth="1"/>
    <col min="2" max="2" width="35.140625" style="1" customWidth="1"/>
    <col min="3" max="3" width="8.421875" style="1" customWidth="1"/>
    <col min="4" max="4" width="8.00390625" style="1" customWidth="1"/>
    <col min="5" max="10" width="7.421875" style="1" customWidth="1"/>
    <col min="11" max="11" width="20.00390625" style="1" customWidth="1"/>
    <col min="12" max="16" width="4.28125" style="1" customWidth="1"/>
    <col min="17" max="17" width="20.8515625" style="1" customWidth="1"/>
    <col min="18" max="16384" width="19.7109375" style="1" customWidth="1"/>
  </cols>
  <sheetData>
    <row r="1" spans="1:18" ht="57.75" customHeight="1">
      <c r="A1" s="51"/>
      <c r="B1" s="31"/>
      <c r="C1" s="31"/>
      <c r="D1" s="31"/>
      <c r="E1" s="31"/>
      <c r="F1" s="31"/>
      <c r="G1" s="592" t="s">
        <v>289</v>
      </c>
      <c r="H1" s="592"/>
      <c r="I1" s="592"/>
      <c r="J1" s="592"/>
      <c r="K1" s="592"/>
      <c r="L1" s="592"/>
      <c r="M1" s="592"/>
      <c r="N1" s="592"/>
      <c r="O1" s="592"/>
      <c r="P1" s="592"/>
      <c r="Q1" s="592"/>
      <c r="R1" s="94"/>
    </row>
    <row r="2" spans="1:17" ht="25.5" customHeight="1">
      <c r="A2" s="593" t="s">
        <v>202</v>
      </c>
      <c r="B2" s="593"/>
      <c r="C2" s="593"/>
      <c r="D2" s="593"/>
      <c r="E2" s="593"/>
      <c r="F2" s="593"/>
      <c r="G2" s="593"/>
      <c r="H2" s="593"/>
      <c r="I2" s="593"/>
      <c r="J2" s="593"/>
      <c r="K2" s="593"/>
      <c r="L2" s="593"/>
      <c r="M2" s="593"/>
      <c r="N2" s="593"/>
      <c r="O2" s="593"/>
      <c r="P2" s="593"/>
      <c r="Q2" s="593"/>
    </row>
    <row r="3" spans="1:17" ht="9" customHeight="1">
      <c r="A3" s="5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2" t="s">
        <v>7</v>
      </c>
    </row>
    <row r="4" spans="1:17" ht="42" customHeight="1">
      <c r="A4" s="594" t="s">
        <v>16</v>
      </c>
      <c r="B4" s="595" t="s">
        <v>15</v>
      </c>
      <c r="C4" s="594" t="s">
        <v>164</v>
      </c>
      <c r="D4" s="594" t="s">
        <v>165</v>
      </c>
      <c r="E4" s="597" t="s">
        <v>0</v>
      </c>
      <c r="F4" s="598"/>
      <c r="G4" s="598"/>
      <c r="H4" s="598"/>
      <c r="I4" s="598"/>
      <c r="J4" s="599"/>
      <c r="K4" s="597" t="s">
        <v>17</v>
      </c>
      <c r="L4" s="598"/>
      <c r="M4" s="598"/>
      <c r="N4" s="598"/>
      <c r="O4" s="598"/>
      <c r="P4" s="599"/>
      <c r="Q4" s="595" t="s">
        <v>14</v>
      </c>
    </row>
    <row r="5" spans="1:17" ht="12" customHeight="1">
      <c r="A5" s="594"/>
      <c r="B5" s="596"/>
      <c r="C5" s="594"/>
      <c r="D5" s="594"/>
      <c r="E5" s="115" t="s">
        <v>1</v>
      </c>
      <c r="F5" s="115" t="s">
        <v>2</v>
      </c>
      <c r="G5" s="115" t="s">
        <v>3</v>
      </c>
      <c r="H5" s="115" t="s">
        <v>57</v>
      </c>
      <c r="I5" s="115" t="s">
        <v>155</v>
      </c>
      <c r="J5" s="115" t="s">
        <v>156</v>
      </c>
      <c r="K5" s="115" t="s">
        <v>4</v>
      </c>
      <c r="L5" s="115">
        <v>2014</v>
      </c>
      <c r="M5" s="115">
        <v>2015</v>
      </c>
      <c r="N5" s="115">
        <v>2016</v>
      </c>
      <c r="O5" s="115">
        <v>2017</v>
      </c>
      <c r="P5" s="115">
        <v>2018</v>
      </c>
      <c r="Q5" s="596"/>
    </row>
    <row r="6" spans="1:17" ht="9.75" customHeight="1">
      <c r="A6" s="107">
        <v>1</v>
      </c>
      <c r="B6" s="107">
        <v>2</v>
      </c>
      <c r="C6" s="107">
        <v>3</v>
      </c>
      <c r="D6" s="107">
        <v>4</v>
      </c>
      <c r="E6" s="107">
        <v>5</v>
      </c>
      <c r="F6" s="107">
        <v>6</v>
      </c>
      <c r="G6" s="107">
        <v>7</v>
      </c>
      <c r="H6" s="107">
        <v>8</v>
      </c>
      <c r="I6" s="107">
        <v>9</v>
      </c>
      <c r="J6" s="107">
        <v>10</v>
      </c>
      <c r="K6" s="107">
        <v>11</v>
      </c>
      <c r="L6" s="107">
        <v>12</v>
      </c>
      <c r="M6" s="107">
        <v>13</v>
      </c>
      <c r="N6" s="107">
        <v>14</v>
      </c>
      <c r="O6" s="107">
        <v>15</v>
      </c>
      <c r="P6" s="107">
        <v>16</v>
      </c>
      <c r="Q6" s="107">
        <v>17</v>
      </c>
    </row>
    <row r="7" spans="1:17" ht="21.75" customHeight="1">
      <c r="A7" s="33"/>
      <c r="B7" s="434" t="s">
        <v>195</v>
      </c>
      <c r="C7" s="444"/>
      <c r="D7" s="444"/>
      <c r="E7" s="444"/>
      <c r="F7" s="444"/>
      <c r="G7" s="444"/>
      <c r="H7" s="444"/>
      <c r="I7" s="444"/>
      <c r="J7" s="444"/>
      <c r="K7" s="444"/>
      <c r="L7" s="444"/>
      <c r="M7" s="444"/>
      <c r="N7" s="444"/>
      <c r="O7" s="444"/>
      <c r="P7" s="444"/>
      <c r="Q7" s="444"/>
    </row>
    <row r="8" spans="1:17" ht="34.5" customHeight="1">
      <c r="A8" s="40" t="s">
        <v>72</v>
      </c>
      <c r="B8" s="739" t="s">
        <v>192</v>
      </c>
      <c r="C8" s="739"/>
      <c r="D8" s="739"/>
      <c r="E8" s="739"/>
      <c r="F8" s="739"/>
      <c r="G8" s="739"/>
      <c r="H8" s="739"/>
      <c r="I8" s="739"/>
      <c r="J8" s="739"/>
      <c r="K8" s="739"/>
      <c r="L8" s="739"/>
      <c r="M8" s="739"/>
      <c r="N8" s="739"/>
      <c r="O8" s="739"/>
      <c r="P8" s="739"/>
      <c r="Q8" s="739"/>
    </row>
    <row r="9" spans="1:17" ht="69.75" customHeight="1">
      <c r="A9" s="140" t="s">
        <v>10</v>
      </c>
      <c r="B9" s="139" t="s">
        <v>170</v>
      </c>
      <c r="C9" s="136" t="s">
        <v>176</v>
      </c>
      <c r="D9" s="135" t="s">
        <v>167</v>
      </c>
      <c r="E9" s="137">
        <v>170</v>
      </c>
      <c r="F9" s="137">
        <v>34</v>
      </c>
      <c r="G9" s="137">
        <v>34</v>
      </c>
      <c r="H9" s="137">
        <v>34</v>
      </c>
      <c r="I9" s="137">
        <v>34</v>
      </c>
      <c r="J9" s="137">
        <v>34</v>
      </c>
      <c r="K9" s="151" t="s">
        <v>193</v>
      </c>
      <c r="L9" s="44">
        <v>20</v>
      </c>
      <c r="M9" s="44">
        <v>20</v>
      </c>
      <c r="N9" s="44">
        <v>20</v>
      </c>
      <c r="O9" s="44">
        <v>20</v>
      </c>
      <c r="P9" s="44">
        <v>20</v>
      </c>
      <c r="Q9" s="133" t="s">
        <v>171</v>
      </c>
    </row>
    <row r="10" spans="1:17" ht="37.5" customHeight="1">
      <c r="A10" s="730" t="s">
        <v>169</v>
      </c>
      <c r="B10" s="728" t="s">
        <v>168</v>
      </c>
      <c r="C10" s="486" t="s">
        <v>175</v>
      </c>
      <c r="D10" s="461" t="s">
        <v>180</v>
      </c>
      <c r="E10" s="453">
        <v>80</v>
      </c>
      <c r="F10" s="453">
        <v>16</v>
      </c>
      <c r="G10" s="453">
        <v>16</v>
      </c>
      <c r="H10" s="453">
        <v>16</v>
      </c>
      <c r="I10" s="453">
        <v>16</v>
      </c>
      <c r="J10" s="453">
        <v>16</v>
      </c>
      <c r="K10" s="139" t="s">
        <v>173</v>
      </c>
      <c r="L10" s="44">
        <v>7</v>
      </c>
      <c r="M10" s="44">
        <v>8</v>
      </c>
      <c r="N10" s="44">
        <v>9</v>
      </c>
      <c r="O10" s="44">
        <v>9</v>
      </c>
      <c r="P10" s="44">
        <v>10</v>
      </c>
      <c r="Q10" s="455" t="s">
        <v>172</v>
      </c>
    </row>
    <row r="11" spans="1:17" ht="36" customHeight="1">
      <c r="A11" s="731"/>
      <c r="B11" s="729"/>
      <c r="C11" s="486"/>
      <c r="D11" s="614"/>
      <c r="E11" s="469"/>
      <c r="F11" s="469"/>
      <c r="G11" s="469"/>
      <c r="H11" s="469"/>
      <c r="I11" s="469"/>
      <c r="J11" s="469"/>
      <c r="K11" s="139" t="s">
        <v>174</v>
      </c>
      <c r="L11" s="44">
        <v>550</v>
      </c>
      <c r="M11" s="44">
        <v>555</v>
      </c>
      <c r="N11" s="44">
        <v>560</v>
      </c>
      <c r="O11" s="44">
        <v>570</v>
      </c>
      <c r="P11" s="44">
        <v>580</v>
      </c>
      <c r="Q11" s="529"/>
    </row>
    <row r="12" spans="1:17" ht="48" customHeight="1">
      <c r="A12" s="142" t="s">
        <v>190</v>
      </c>
      <c r="B12" s="147" t="s">
        <v>188</v>
      </c>
      <c r="C12" s="136" t="s">
        <v>191</v>
      </c>
      <c r="D12" s="132" t="s">
        <v>189</v>
      </c>
      <c r="E12" s="130">
        <v>20</v>
      </c>
      <c r="F12" s="130">
        <v>0</v>
      </c>
      <c r="G12" s="130">
        <v>5</v>
      </c>
      <c r="H12" s="130">
        <v>5</v>
      </c>
      <c r="I12" s="130">
        <v>5</v>
      </c>
      <c r="J12" s="130">
        <v>5</v>
      </c>
      <c r="K12" s="139" t="s">
        <v>186</v>
      </c>
      <c r="L12" s="44">
        <v>8</v>
      </c>
      <c r="M12" s="44">
        <v>9</v>
      </c>
      <c r="N12" s="44">
        <v>10</v>
      </c>
      <c r="O12" s="44">
        <v>11</v>
      </c>
      <c r="P12" s="44">
        <v>12</v>
      </c>
      <c r="Q12" s="145" t="s">
        <v>51</v>
      </c>
    </row>
    <row r="13" spans="1:17" ht="34.5" customHeight="1">
      <c r="A13" s="142"/>
      <c r="B13" s="146" t="s">
        <v>166</v>
      </c>
      <c r="C13" s="136"/>
      <c r="D13" s="148"/>
      <c r="E13" s="149">
        <v>270</v>
      </c>
      <c r="F13" s="149">
        <v>50</v>
      </c>
      <c r="G13" s="149">
        <v>55</v>
      </c>
      <c r="H13" s="149">
        <v>55</v>
      </c>
      <c r="I13" s="149">
        <v>55</v>
      </c>
      <c r="J13" s="149">
        <v>55</v>
      </c>
      <c r="K13" s="139"/>
      <c r="L13" s="44"/>
      <c r="M13" s="44"/>
      <c r="N13" s="44"/>
      <c r="O13" s="44"/>
      <c r="P13" s="44"/>
      <c r="Q13" s="145"/>
    </row>
    <row r="14" spans="1:17" ht="14.25" customHeight="1">
      <c r="A14" s="59" t="s">
        <v>24</v>
      </c>
      <c r="B14" s="584" t="s">
        <v>40</v>
      </c>
      <c r="C14" s="548"/>
      <c r="D14" s="548"/>
      <c r="E14" s="548"/>
      <c r="F14" s="548"/>
      <c r="G14" s="548"/>
      <c r="H14" s="548"/>
      <c r="I14" s="548"/>
      <c r="J14" s="548"/>
      <c r="K14" s="548"/>
      <c r="L14" s="548"/>
      <c r="M14" s="548"/>
      <c r="N14" s="548"/>
      <c r="O14" s="548"/>
      <c r="P14" s="548"/>
      <c r="Q14" s="585"/>
    </row>
    <row r="15" spans="1:17" ht="10.5" customHeight="1">
      <c r="A15" s="730" t="s">
        <v>26</v>
      </c>
      <c r="B15" s="458" t="s">
        <v>184</v>
      </c>
      <c r="C15" s="586" t="s">
        <v>177</v>
      </c>
      <c r="D15" s="615" t="s">
        <v>179</v>
      </c>
      <c r="E15" s="453">
        <v>35</v>
      </c>
      <c r="F15" s="453">
        <v>7</v>
      </c>
      <c r="G15" s="453">
        <v>7</v>
      </c>
      <c r="H15" s="453">
        <v>7</v>
      </c>
      <c r="I15" s="453">
        <v>7</v>
      </c>
      <c r="J15" s="453">
        <v>7</v>
      </c>
      <c r="K15" s="458" t="s">
        <v>183</v>
      </c>
      <c r="L15" s="735">
        <v>4</v>
      </c>
      <c r="M15" s="735">
        <v>5</v>
      </c>
      <c r="N15" s="735">
        <v>6</v>
      </c>
      <c r="O15" s="735">
        <v>7</v>
      </c>
      <c r="P15" s="735">
        <v>8</v>
      </c>
      <c r="Q15" s="455" t="s">
        <v>182</v>
      </c>
    </row>
    <row r="16" spans="1:17" ht="16.5" customHeight="1">
      <c r="A16" s="738"/>
      <c r="B16" s="476"/>
      <c r="C16" s="647"/>
      <c r="D16" s="681"/>
      <c r="E16" s="454"/>
      <c r="F16" s="454"/>
      <c r="G16" s="454"/>
      <c r="H16" s="454"/>
      <c r="I16" s="454"/>
      <c r="J16" s="454"/>
      <c r="K16" s="476"/>
      <c r="L16" s="736"/>
      <c r="M16" s="736"/>
      <c r="N16" s="736"/>
      <c r="O16" s="736"/>
      <c r="P16" s="736"/>
      <c r="Q16" s="475"/>
    </row>
    <row r="17" spans="1:17" ht="11.25" customHeight="1">
      <c r="A17" s="738"/>
      <c r="B17" s="476"/>
      <c r="C17" s="647"/>
      <c r="D17" s="681"/>
      <c r="E17" s="454"/>
      <c r="F17" s="454"/>
      <c r="G17" s="454"/>
      <c r="H17" s="454"/>
      <c r="I17" s="454"/>
      <c r="J17" s="454"/>
      <c r="K17" s="734"/>
      <c r="L17" s="737"/>
      <c r="M17" s="737"/>
      <c r="N17" s="737"/>
      <c r="O17" s="737"/>
      <c r="P17" s="737"/>
      <c r="Q17" s="475"/>
    </row>
    <row r="18" spans="1:17" ht="45">
      <c r="A18" s="731"/>
      <c r="B18" s="734"/>
      <c r="C18" s="648"/>
      <c r="D18" s="616"/>
      <c r="E18" s="469"/>
      <c r="F18" s="469"/>
      <c r="G18" s="469"/>
      <c r="H18" s="469"/>
      <c r="I18" s="469"/>
      <c r="J18" s="469"/>
      <c r="K18" s="139" t="s">
        <v>187</v>
      </c>
      <c r="L18" s="34">
        <v>450</v>
      </c>
      <c r="M18" s="34">
        <v>455</v>
      </c>
      <c r="N18" s="34">
        <v>460</v>
      </c>
      <c r="O18" s="44">
        <v>465</v>
      </c>
      <c r="P18" s="44">
        <v>470</v>
      </c>
      <c r="Q18" s="529"/>
    </row>
    <row r="19" spans="1:17" ht="46.5" customHeight="1" thickBot="1">
      <c r="A19" s="141" t="s">
        <v>41</v>
      </c>
      <c r="B19" s="150" t="s">
        <v>194</v>
      </c>
      <c r="C19" s="133" t="s">
        <v>178</v>
      </c>
      <c r="D19" s="131" t="s">
        <v>181</v>
      </c>
      <c r="E19" s="129">
        <v>38</v>
      </c>
      <c r="F19" s="129">
        <v>18</v>
      </c>
      <c r="G19" s="129">
        <v>5</v>
      </c>
      <c r="H19" s="138">
        <v>5</v>
      </c>
      <c r="I19" s="138">
        <v>5</v>
      </c>
      <c r="J19" s="138">
        <v>5</v>
      </c>
      <c r="K19" s="43" t="s">
        <v>185</v>
      </c>
      <c r="L19" s="42">
        <v>4</v>
      </c>
      <c r="M19" s="42">
        <v>5</v>
      </c>
      <c r="N19" s="42">
        <v>6</v>
      </c>
      <c r="O19" s="114">
        <v>6</v>
      </c>
      <c r="P19" s="114">
        <v>7</v>
      </c>
      <c r="Q19" s="131" t="s">
        <v>51</v>
      </c>
    </row>
    <row r="20" spans="1:17" ht="6" customHeight="1">
      <c r="A20" s="426"/>
      <c r="B20" s="434" t="s">
        <v>197</v>
      </c>
      <c r="C20" s="433"/>
      <c r="D20" s="740"/>
      <c r="E20" s="645">
        <f>SUM(F20:J21)</f>
        <v>73</v>
      </c>
      <c r="F20" s="645">
        <f>SUM(F15:F19)</f>
        <v>25</v>
      </c>
      <c r="G20" s="645">
        <v>12</v>
      </c>
      <c r="H20" s="656">
        <v>12</v>
      </c>
      <c r="I20" s="656">
        <v>12</v>
      </c>
      <c r="J20" s="656">
        <v>12</v>
      </c>
      <c r="K20" s="640"/>
      <c r="L20" s="426"/>
      <c r="M20" s="426"/>
      <c r="N20" s="426"/>
      <c r="O20" s="426"/>
      <c r="P20" s="426"/>
      <c r="Q20" s="426"/>
    </row>
    <row r="21" spans="1:17" ht="8.25" customHeight="1" thickBot="1">
      <c r="A21" s="426"/>
      <c r="B21" s="434"/>
      <c r="C21" s="433"/>
      <c r="D21" s="741"/>
      <c r="E21" s="646"/>
      <c r="F21" s="646"/>
      <c r="G21" s="646"/>
      <c r="H21" s="657"/>
      <c r="I21" s="657"/>
      <c r="J21" s="657"/>
      <c r="K21" s="640"/>
      <c r="L21" s="426"/>
      <c r="M21" s="426"/>
      <c r="N21" s="426"/>
      <c r="O21" s="426"/>
      <c r="P21" s="426"/>
      <c r="Q21" s="426"/>
    </row>
    <row r="22" spans="1:17" ht="15" customHeight="1">
      <c r="A22" s="433"/>
      <c r="B22" s="742" t="s">
        <v>196</v>
      </c>
      <c r="C22" s="744"/>
      <c r="D22" s="38" t="s">
        <v>11</v>
      </c>
      <c r="E22" s="746">
        <f>SUM(F22:J23)</f>
        <v>343</v>
      </c>
      <c r="F22" s="748">
        <v>75</v>
      </c>
      <c r="G22" s="746">
        <v>67</v>
      </c>
      <c r="H22" s="732">
        <v>67</v>
      </c>
      <c r="I22" s="732">
        <v>67</v>
      </c>
      <c r="J22" s="732">
        <v>67</v>
      </c>
      <c r="K22" s="640"/>
      <c r="L22" s="426"/>
      <c r="M22" s="426"/>
      <c r="N22" s="426"/>
      <c r="O22" s="426"/>
      <c r="P22" s="426"/>
      <c r="Q22" s="426"/>
    </row>
    <row r="23" spans="1:17" ht="21.75" customHeight="1" thickBot="1">
      <c r="A23" s="433"/>
      <c r="B23" s="743"/>
      <c r="C23" s="745"/>
      <c r="D23" s="39" t="s">
        <v>75</v>
      </c>
      <c r="E23" s="747"/>
      <c r="F23" s="749"/>
      <c r="G23" s="747"/>
      <c r="H23" s="733"/>
      <c r="I23" s="733"/>
      <c r="J23" s="733"/>
      <c r="K23" s="640"/>
      <c r="L23" s="426"/>
      <c r="M23" s="426"/>
      <c r="N23" s="426"/>
      <c r="O23" s="426"/>
      <c r="P23" s="426"/>
      <c r="Q23" s="426"/>
    </row>
    <row r="24" spans="1:17" ht="18.75" customHeight="1">
      <c r="A24" s="18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</row>
    <row r="25" spans="1:17" ht="18.75" customHeight="1">
      <c r="A25" s="18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</row>
    <row r="26" spans="1:17" ht="18.75" customHeight="1">
      <c r="A26" s="18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</row>
    <row r="27" spans="1:17" ht="18.75" customHeight="1">
      <c r="A27" s="18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</row>
    <row r="28" spans="1:17" ht="18.75" customHeight="1">
      <c r="A28" s="18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</row>
    <row r="29" spans="1:17" ht="18.75" customHeight="1">
      <c r="A29" s="18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</row>
    <row r="30" spans="1:17" ht="18.75" customHeight="1">
      <c r="A30" s="18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</row>
    <row r="31" spans="1:17" ht="18.75" customHeight="1">
      <c r="A31" s="18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</row>
    <row r="32" spans="1:17" ht="18.75" customHeight="1">
      <c r="A32" s="18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</row>
    <row r="33" spans="1:17" ht="18.75" customHeight="1">
      <c r="A33" s="18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</row>
    <row r="34" spans="1:17" ht="18.75" customHeight="1">
      <c r="A34" s="18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</row>
    <row r="35" spans="1:17" ht="18.75" customHeight="1">
      <c r="A35" s="18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</row>
    <row r="36" spans="1:17" ht="18.75" customHeight="1">
      <c r="A36" s="18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</row>
    <row r="37" spans="1:17" ht="18.75" customHeight="1">
      <c r="A37" s="18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</row>
    <row r="38" spans="1:17" ht="18.75" customHeight="1">
      <c r="A38" s="18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</row>
    <row r="39" spans="1:17" ht="18.75" customHeight="1">
      <c r="A39" s="18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</row>
    <row r="40" spans="1:17" ht="18.75" customHeight="1">
      <c r="A40" s="18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</row>
    <row r="41" spans="1:17" ht="18.75" customHeight="1">
      <c r="A41" s="18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</row>
    <row r="42" spans="1:17" ht="18.75" customHeight="1">
      <c r="A42" s="18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</row>
    <row r="43" spans="1:17" ht="18.75" customHeight="1">
      <c r="A43" s="18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</row>
    <row r="44" spans="1:17" ht="18.75" customHeight="1">
      <c r="A44" s="18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</row>
    <row r="45" spans="1:17" ht="18.75" customHeight="1">
      <c r="A45" s="18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</row>
    <row r="46" spans="1:17" ht="18.75" customHeight="1">
      <c r="A46" s="18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</row>
    <row r="47" spans="1:17" ht="18.75" customHeight="1">
      <c r="A47" s="18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</row>
    <row r="48" spans="1:17" ht="18.75" customHeight="1">
      <c r="A48" s="18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</row>
    <row r="49" spans="1:17" ht="18.75" customHeight="1">
      <c r="A49" s="18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</row>
    <row r="50" spans="1:17" ht="18.75" customHeight="1">
      <c r="A50" s="18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</row>
    <row r="51" spans="1:17" ht="18.75" customHeight="1">
      <c r="A51" s="18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</row>
    <row r="52" spans="1:17" ht="18.75" customHeight="1">
      <c r="A52" s="18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</row>
    <row r="53" spans="1:17" ht="18.75" customHeight="1">
      <c r="A53" s="18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</row>
  </sheetData>
  <sheetProtection/>
  <mergeCells count="73">
    <mergeCell ref="Q22:Q23"/>
    <mergeCell ref="Q20:Q21"/>
    <mergeCell ref="A22:A23"/>
    <mergeCell ref="B22:B23"/>
    <mergeCell ref="C22:C23"/>
    <mergeCell ref="E22:E23"/>
    <mergeCell ref="F22:F23"/>
    <mergeCell ref="H22:H23"/>
    <mergeCell ref="H20:H21"/>
    <mergeCell ref="G22:G23"/>
    <mergeCell ref="A20:A21"/>
    <mergeCell ref="B20:B21"/>
    <mergeCell ref="C20:C21"/>
    <mergeCell ref="E20:E21"/>
    <mergeCell ref="F20:F21"/>
    <mergeCell ref="E15:E18"/>
    <mergeCell ref="D15:D18"/>
    <mergeCell ref="L15:L17"/>
    <mergeCell ref="G20:G21"/>
    <mergeCell ref="C4:C5"/>
    <mergeCell ref="D4:D5"/>
    <mergeCell ref="B8:Q8"/>
    <mergeCell ref="E4:J4"/>
    <mergeCell ref="K4:P4"/>
    <mergeCell ref="M20:M21"/>
    <mergeCell ref="N20:N21"/>
    <mergeCell ref="D20:D21"/>
    <mergeCell ref="Q4:Q5"/>
    <mergeCell ref="B4:B5"/>
    <mergeCell ref="B7:Q7"/>
    <mergeCell ref="A2:Q2"/>
    <mergeCell ref="A4:A5"/>
    <mergeCell ref="A15:A18"/>
    <mergeCell ref="C15:C18"/>
    <mergeCell ref="M15:M17"/>
    <mergeCell ref="N15:N17"/>
    <mergeCell ref="B15:B18"/>
    <mergeCell ref="Q15:Q18"/>
    <mergeCell ref="K15:K17"/>
    <mergeCell ref="O15:O17"/>
    <mergeCell ref="P15:P17"/>
    <mergeCell ref="G1:Q1"/>
    <mergeCell ref="F15:F18"/>
    <mergeCell ref="G15:G18"/>
    <mergeCell ref="H15:H18"/>
    <mergeCell ref="G10:G11"/>
    <mergeCell ref="H10:H11"/>
    <mergeCell ref="O20:O21"/>
    <mergeCell ref="P20:P21"/>
    <mergeCell ref="O22:O23"/>
    <mergeCell ref="P22:P23"/>
    <mergeCell ref="K22:K23"/>
    <mergeCell ref="L20:L21"/>
    <mergeCell ref="K20:K21"/>
    <mergeCell ref="L22:L23"/>
    <mergeCell ref="M22:M23"/>
    <mergeCell ref="N22:N23"/>
    <mergeCell ref="A10:A11"/>
    <mergeCell ref="E10:E11"/>
    <mergeCell ref="F10:F11"/>
    <mergeCell ref="I20:I21"/>
    <mergeCell ref="J20:J21"/>
    <mergeCell ref="I22:I23"/>
    <mergeCell ref="J22:J23"/>
    <mergeCell ref="I15:I18"/>
    <mergeCell ref="J15:J18"/>
    <mergeCell ref="B14:Q14"/>
    <mergeCell ref="I10:I11"/>
    <mergeCell ref="J10:J11"/>
    <mergeCell ref="Q10:Q11"/>
    <mergeCell ref="B10:B11"/>
    <mergeCell ref="C10:C11"/>
    <mergeCell ref="D10:D11"/>
  </mergeCells>
  <printOptions horizontalCentered="1"/>
  <pageMargins left="0.2362204724409449" right="0.2362204724409449" top="0.7480314960629921" bottom="0.7480314960629921" header="0.31496062992125984" footer="0.31496062992125984"/>
  <pageSetup fitToHeight="4" fitToWidth="1" horizontalDpi="600" verticalDpi="600" orientation="landscape" paperSize="9" scale="8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Q177"/>
  <sheetViews>
    <sheetView zoomScaleSheetLayoutView="100" workbookViewId="0" topLeftCell="A1">
      <pane ySplit="6" topLeftCell="A148" activePane="bottomLeft" state="frozen"/>
      <selection pane="topLeft" activeCell="A1" sqref="A1"/>
      <selection pane="bottomLeft" activeCell="B1" sqref="B1"/>
    </sheetView>
  </sheetViews>
  <sheetFormatPr defaultColWidth="19.7109375" defaultRowHeight="18.75" customHeight="1"/>
  <cols>
    <col min="1" max="1" width="6.57421875" style="1" customWidth="1"/>
    <col min="2" max="2" width="28.28125" style="1" customWidth="1"/>
    <col min="3" max="3" width="6.28125" style="79" customWidth="1"/>
    <col min="4" max="4" width="6.8515625" style="70" customWidth="1"/>
    <col min="5" max="5" width="8.00390625" style="70" customWidth="1"/>
    <col min="6" max="7" width="8.28125" style="70" customWidth="1"/>
    <col min="8" max="10" width="8.421875" style="70" customWidth="1"/>
    <col min="11" max="11" width="23.421875" style="88" customWidth="1"/>
    <col min="12" max="16" width="5.00390625" style="70" customWidth="1"/>
    <col min="17" max="17" width="19.00390625" style="3" customWidth="1"/>
    <col min="18" max="16384" width="19.7109375" style="1" customWidth="1"/>
  </cols>
  <sheetData>
    <row r="1" spans="1:17" ht="25.5" customHeight="1">
      <c r="A1" s="29"/>
      <c r="B1" s="29"/>
      <c r="C1" s="78"/>
      <c r="D1" s="63"/>
      <c r="E1" s="63"/>
      <c r="F1" s="63"/>
      <c r="H1" s="94"/>
      <c r="I1" s="94"/>
      <c r="J1" s="94"/>
      <c r="K1" s="94"/>
      <c r="L1" s="592" t="s">
        <v>297</v>
      </c>
      <c r="M1" s="592"/>
      <c r="N1" s="592"/>
      <c r="O1" s="592"/>
      <c r="P1" s="592"/>
      <c r="Q1" s="592"/>
    </row>
    <row r="2" spans="1:17" ht="28.5" customHeight="1">
      <c r="A2" s="593" t="s">
        <v>157</v>
      </c>
      <c r="B2" s="593"/>
      <c r="C2" s="593"/>
      <c r="D2" s="593"/>
      <c r="E2" s="593"/>
      <c r="F2" s="593"/>
      <c r="G2" s="593"/>
      <c r="H2" s="593"/>
      <c r="I2" s="593"/>
      <c r="J2" s="593"/>
      <c r="K2" s="593"/>
      <c r="L2" s="593"/>
      <c r="M2" s="593"/>
      <c r="N2" s="593"/>
      <c r="O2" s="593"/>
      <c r="P2" s="593"/>
      <c r="Q2" s="593"/>
    </row>
    <row r="3" spans="1:17" ht="10.5" customHeight="1">
      <c r="A3" s="29"/>
      <c r="B3" s="29"/>
      <c r="C3" s="78"/>
      <c r="D3" s="63"/>
      <c r="E3" s="63"/>
      <c r="F3" s="63"/>
      <c r="G3" s="63"/>
      <c r="H3" s="63"/>
      <c r="I3" s="63"/>
      <c r="J3" s="63"/>
      <c r="K3" s="87"/>
      <c r="L3" s="63"/>
      <c r="M3" s="63"/>
      <c r="N3" s="63"/>
      <c r="O3" s="63"/>
      <c r="P3" s="63"/>
      <c r="Q3" s="119" t="s">
        <v>7</v>
      </c>
    </row>
    <row r="4" spans="1:17" s="35" customFormat="1" ht="40.5" customHeight="1">
      <c r="A4" s="594" t="s">
        <v>16</v>
      </c>
      <c r="B4" s="595" t="s">
        <v>15</v>
      </c>
      <c r="C4" s="594" t="s">
        <v>8</v>
      </c>
      <c r="D4" s="594" t="s">
        <v>9</v>
      </c>
      <c r="E4" s="597" t="s">
        <v>0</v>
      </c>
      <c r="F4" s="598"/>
      <c r="G4" s="598"/>
      <c r="H4" s="598"/>
      <c r="I4" s="598"/>
      <c r="J4" s="599"/>
      <c r="K4" s="597" t="s">
        <v>17</v>
      </c>
      <c r="L4" s="598"/>
      <c r="M4" s="598"/>
      <c r="N4" s="598"/>
      <c r="O4" s="598"/>
      <c r="P4" s="599"/>
      <c r="Q4" s="595" t="s">
        <v>14</v>
      </c>
    </row>
    <row r="5" spans="1:17" s="35" customFormat="1" ht="14.25" customHeight="1">
      <c r="A5" s="594"/>
      <c r="B5" s="596"/>
      <c r="C5" s="594"/>
      <c r="D5" s="594"/>
      <c r="E5" s="115" t="s">
        <v>1</v>
      </c>
      <c r="F5" s="115" t="s">
        <v>2</v>
      </c>
      <c r="G5" s="115" t="s">
        <v>3</v>
      </c>
      <c r="H5" s="115" t="s">
        <v>57</v>
      </c>
      <c r="I5" s="115" t="s">
        <v>155</v>
      </c>
      <c r="J5" s="115" t="s">
        <v>156</v>
      </c>
      <c r="K5" s="115" t="s">
        <v>4</v>
      </c>
      <c r="L5" s="115">
        <v>2014</v>
      </c>
      <c r="M5" s="115">
        <v>2015</v>
      </c>
      <c r="N5" s="115">
        <v>2016</v>
      </c>
      <c r="O5" s="115">
        <v>2017</v>
      </c>
      <c r="P5" s="115">
        <v>2018</v>
      </c>
      <c r="Q5" s="596"/>
    </row>
    <row r="6" spans="1:17" s="30" customFormat="1" ht="9.75" customHeight="1">
      <c r="A6" s="208">
        <v>1</v>
      </c>
      <c r="B6" s="208">
        <v>2</v>
      </c>
      <c r="C6" s="208">
        <v>3</v>
      </c>
      <c r="D6" s="208">
        <v>4</v>
      </c>
      <c r="E6" s="208">
        <v>5</v>
      </c>
      <c r="F6" s="208">
        <v>6</v>
      </c>
      <c r="G6" s="208">
        <v>7</v>
      </c>
      <c r="H6" s="208">
        <v>8</v>
      </c>
      <c r="I6" s="208">
        <v>9</v>
      </c>
      <c r="J6" s="208">
        <v>10</v>
      </c>
      <c r="K6" s="208">
        <v>11</v>
      </c>
      <c r="L6" s="208">
        <v>12</v>
      </c>
      <c r="M6" s="208">
        <v>13</v>
      </c>
      <c r="N6" s="208">
        <v>14</v>
      </c>
      <c r="O6" s="208">
        <v>15</v>
      </c>
      <c r="P6" s="208">
        <v>16</v>
      </c>
      <c r="Q6" s="208">
        <v>17</v>
      </c>
    </row>
    <row r="7" spans="1:17" ht="11.25" customHeight="1">
      <c r="A7" s="208"/>
      <c r="B7" s="444" t="s">
        <v>44</v>
      </c>
      <c r="C7" s="444"/>
      <c r="D7" s="444"/>
      <c r="E7" s="444"/>
      <c r="F7" s="444"/>
      <c r="G7" s="444"/>
      <c r="H7" s="444"/>
      <c r="I7" s="444"/>
      <c r="J7" s="444"/>
      <c r="K7" s="444"/>
      <c r="L7" s="444"/>
      <c r="M7" s="444"/>
      <c r="N7" s="444"/>
      <c r="O7" s="444"/>
      <c r="P7" s="444"/>
      <c r="Q7" s="444"/>
    </row>
    <row r="8" spans="1:17" ht="13.5" customHeight="1">
      <c r="A8" s="40">
        <v>1</v>
      </c>
      <c r="B8" s="434" t="s">
        <v>79</v>
      </c>
      <c r="C8" s="434"/>
      <c r="D8" s="434"/>
      <c r="E8" s="434"/>
      <c r="F8" s="434"/>
      <c r="G8" s="434"/>
      <c r="H8" s="434"/>
      <c r="I8" s="434"/>
      <c r="J8" s="434"/>
      <c r="K8" s="434"/>
      <c r="L8" s="434"/>
      <c r="M8" s="434"/>
      <c r="N8" s="434"/>
      <c r="O8" s="434"/>
      <c r="P8" s="434"/>
      <c r="Q8" s="434"/>
    </row>
    <row r="9" spans="1:17" ht="22.5" customHeight="1">
      <c r="A9" s="455" t="s">
        <v>19</v>
      </c>
      <c r="B9" s="458" t="s">
        <v>45</v>
      </c>
      <c r="C9" s="586" t="s">
        <v>161</v>
      </c>
      <c r="D9" s="199" t="s">
        <v>249</v>
      </c>
      <c r="E9" s="231">
        <f aca="true" t="shared" si="0" ref="E9:J9">E10</f>
        <v>11120.5</v>
      </c>
      <c r="F9" s="231">
        <f t="shared" si="0"/>
        <v>8761</v>
      </c>
      <c r="G9" s="231">
        <f t="shared" si="0"/>
        <v>2359.5</v>
      </c>
      <c r="H9" s="231">
        <f t="shared" si="0"/>
        <v>0</v>
      </c>
      <c r="I9" s="231">
        <f t="shared" si="0"/>
        <v>0</v>
      </c>
      <c r="J9" s="231">
        <f t="shared" si="0"/>
        <v>0</v>
      </c>
      <c r="K9" s="464" t="s">
        <v>248</v>
      </c>
      <c r="L9" s="449" t="s">
        <v>236</v>
      </c>
      <c r="M9" s="449" t="s">
        <v>236</v>
      </c>
      <c r="N9" s="449" t="s">
        <v>213</v>
      </c>
      <c r="O9" s="449" t="s">
        <v>213</v>
      </c>
      <c r="P9" s="449" t="s">
        <v>213</v>
      </c>
      <c r="Q9" s="449" t="s">
        <v>63</v>
      </c>
    </row>
    <row r="10" spans="1:17" ht="6.75" customHeight="1">
      <c r="A10" s="462"/>
      <c r="B10" s="566"/>
      <c r="C10" s="566"/>
      <c r="D10" s="425" t="s">
        <v>5</v>
      </c>
      <c r="E10" s="489">
        <f>SUM(F10:J13)</f>
        <v>11120.5</v>
      </c>
      <c r="F10" s="489">
        <f>16163-6362-120-300-620</f>
        <v>8761</v>
      </c>
      <c r="G10" s="489">
        <v>2359.5</v>
      </c>
      <c r="H10" s="489">
        <v>0</v>
      </c>
      <c r="I10" s="489">
        <v>0</v>
      </c>
      <c r="J10" s="489">
        <v>0</v>
      </c>
      <c r="K10" s="484"/>
      <c r="L10" s="484"/>
      <c r="M10" s="484"/>
      <c r="N10" s="484"/>
      <c r="O10" s="484"/>
      <c r="P10" s="484"/>
      <c r="Q10" s="505"/>
    </row>
    <row r="11" spans="1:17" ht="6.75" customHeight="1">
      <c r="A11" s="462"/>
      <c r="B11" s="566"/>
      <c r="C11" s="566"/>
      <c r="D11" s="425"/>
      <c r="E11" s="489"/>
      <c r="F11" s="489"/>
      <c r="G11" s="489"/>
      <c r="H11" s="489"/>
      <c r="I11" s="489"/>
      <c r="J11" s="489"/>
      <c r="K11" s="484"/>
      <c r="L11" s="484"/>
      <c r="M11" s="484"/>
      <c r="N11" s="484"/>
      <c r="O11" s="484"/>
      <c r="P11" s="484"/>
      <c r="Q11" s="505"/>
    </row>
    <row r="12" spans="1:17" ht="10.5" customHeight="1">
      <c r="A12" s="462"/>
      <c r="B12" s="566"/>
      <c r="C12" s="566"/>
      <c r="D12" s="425"/>
      <c r="E12" s="489"/>
      <c r="F12" s="489"/>
      <c r="G12" s="489"/>
      <c r="H12" s="489"/>
      <c r="I12" s="489"/>
      <c r="J12" s="489"/>
      <c r="K12" s="484"/>
      <c r="L12" s="484"/>
      <c r="M12" s="484"/>
      <c r="N12" s="484"/>
      <c r="O12" s="484"/>
      <c r="P12" s="484"/>
      <c r="Q12" s="505"/>
    </row>
    <row r="13" spans="1:17" ht="8.25" customHeight="1">
      <c r="A13" s="463"/>
      <c r="B13" s="567"/>
      <c r="C13" s="567"/>
      <c r="D13" s="425"/>
      <c r="E13" s="489"/>
      <c r="F13" s="489"/>
      <c r="G13" s="489"/>
      <c r="H13" s="489"/>
      <c r="I13" s="489"/>
      <c r="J13" s="489"/>
      <c r="K13" s="484"/>
      <c r="L13" s="484"/>
      <c r="M13" s="484"/>
      <c r="N13" s="484"/>
      <c r="O13" s="484"/>
      <c r="P13" s="484"/>
      <c r="Q13" s="505"/>
    </row>
    <row r="14" spans="1:17" ht="15" customHeight="1">
      <c r="A14" s="620"/>
      <c r="B14" s="699" t="s">
        <v>23</v>
      </c>
      <c r="C14" s="442"/>
      <c r="D14" s="771" t="s">
        <v>249</v>
      </c>
      <c r="E14" s="519">
        <f>SUM(F14:J15)</f>
        <v>11120.5</v>
      </c>
      <c r="F14" s="766">
        <f>SUM(F16:F17)</f>
        <v>8761</v>
      </c>
      <c r="G14" s="766">
        <f>SUM(G16:G17)</f>
        <v>2359.5</v>
      </c>
      <c r="H14" s="766">
        <f>SUM(H16:H17)</f>
        <v>0</v>
      </c>
      <c r="I14" s="766">
        <f>SUM(I16:I17)</f>
        <v>0</v>
      </c>
      <c r="J14" s="766">
        <f>SUM(J16:J17)</f>
        <v>0</v>
      </c>
      <c r="K14" s="442"/>
      <c r="L14" s="442"/>
      <c r="M14" s="442"/>
      <c r="N14" s="442"/>
      <c r="O14" s="442"/>
      <c r="P14" s="442"/>
      <c r="Q14" s="442"/>
    </row>
    <row r="15" spans="1:17" ht="10.5" customHeight="1">
      <c r="A15" s="620"/>
      <c r="B15" s="770"/>
      <c r="C15" s="442"/>
      <c r="D15" s="772"/>
      <c r="E15" s="766"/>
      <c r="F15" s="438"/>
      <c r="G15" s="438"/>
      <c r="H15" s="438"/>
      <c r="I15" s="438"/>
      <c r="J15" s="438"/>
      <c r="K15" s="442"/>
      <c r="L15" s="442"/>
      <c r="M15" s="442"/>
      <c r="N15" s="442"/>
      <c r="O15" s="442"/>
      <c r="P15" s="442"/>
      <c r="Q15" s="442"/>
    </row>
    <row r="16" spans="1:17" ht="13.5" customHeight="1">
      <c r="A16" s="620"/>
      <c r="B16" s="770"/>
      <c r="C16" s="442"/>
      <c r="D16" s="174" t="s">
        <v>5</v>
      </c>
      <c r="E16" s="216">
        <f>SUM(F16:J16)</f>
        <v>11120.5</v>
      </c>
      <c r="F16" s="216">
        <f>SUM(F10,F68)</f>
        <v>8761</v>
      </c>
      <c r="G16" s="216">
        <f>SUM(G10,G68)</f>
        <v>2359.5</v>
      </c>
      <c r="H16" s="216">
        <f>SUM(H10,H68)</f>
        <v>0</v>
      </c>
      <c r="I16" s="216">
        <f>SUM(I10,I68)</f>
        <v>0</v>
      </c>
      <c r="J16" s="216">
        <f>SUM(J10,J68)</f>
        <v>0</v>
      </c>
      <c r="K16" s="442"/>
      <c r="L16" s="442"/>
      <c r="M16" s="442"/>
      <c r="N16" s="442"/>
      <c r="O16" s="442"/>
      <c r="P16" s="442"/>
      <c r="Q16" s="442"/>
    </row>
    <row r="17" spans="1:17" ht="13.5" customHeight="1">
      <c r="A17" s="463"/>
      <c r="B17" s="567"/>
      <c r="C17" s="769"/>
      <c r="D17" s="210" t="s">
        <v>6</v>
      </c>
      <c r="E17" s="207">
        <f>SUM(F17:J17)</f>
        <v>0</v>
      </c>
      <c r="F17" s="207">
        <f>F67</f>
        <v>0</v>
      </c>
      <c r="G17" s="207">
        <v>0</v>
      </c>
      <c r="H17" s="207">
        <f>H67</f>
        <v>0</v>
      </c>
      <c r="I17" s="207">
        <f>I67</f>
        <v>0</v>
      </c>
      <c r="J17" s="207">
        <f>J67</f>
        <v>0</v>
      </c>
      <c r="K17" s="769"/>
      <c r="L17" s="769"/>
      <c r="M17" s="769"/>
      <c r="N17" s="769"/>
      <c r="O17" s="769"/>
      <c r="P17" s="769"/>
      <c r="Q17" s="769"/>
    </row>
    <row r="18" spans="1:17" ht="16.5" customHeight="1">
      <c r="A18" s="36" t="s">
        <v>24</v>
      </c>
      <c r="B18" s="584" t="s">
        <v>80</v>
      </c>
      <c r="C18" s="548"/>
      <c r="D18" s="548"/>
      <c r="E18" s="548"/>
      <c r="F18" s="548"/>
      <c r="G18" s="548"/>
      <c r="H18" s="548"/>
      <c r="I18" s="548"/>
      <c r="J18" s="548"/>
      <c r="K18" s="548"/>
      <c r="L18" s="548"/>
      <c r="M18" s="548"/>
      <c r="N18" s="548"/>
      <c r="O18" s="548"/>
      <c r="P18" s="548"/>
      <c r="Q18" s="585"/>
    </row>
    <row r="19" spans="1:17" ht="24" customHeight="1">
      <c r="A19" s="455" t="s">
        <v>26</v>
      </c>
      <c r="B19" s="458" t="s">
        <v>46</v>
      </c>
      <c r="C19" s="586" t="s">
        <v>161</v>
      </c>
      <c r="D19" s="224" t="s">
        <v>249</v>
      </c>
      <c r="E19" s="23" t="s">
        <v>251</v>
      </c>
      <c r="F19" s="23" t="s">
        <v>252</v>
      </c>
      <c r="G19" s="23" t="s">
        <v>253</v>
      </c>
      <c r="H19" s="23" t="s">
        <v>253</v>
      </c>
      <c r="I19" s="23" t="s">
        <v>253</v>
      </c>
      <c r="J19" s="23" t="s">
        <v>253</v>
      </c>
      <c r="K19" s="458" t="s">
        <v>250</v>
      </c>
      <c r="L19" s="449" t="s">
        <v>240</v>
      </c>
      <c r="M19" s="449" t="s">
        <v>240</v>
      </c>
      <c r="N19" s="449" t="s">
        <v>240</v>
      </c>
      <c r="O19" s="449" t="s">
        <v>240</v>
      </c>
      <c r="P19" s="449" t="s">
        <v>240</v>
      </c>
      <c r="Q19" s="455" t="s">
        <v>136</v>
      </c>
    </row>
    <row r="20" spans="1:17" ht="16.5" customHeight="1">
      <c r="A20" s="482"/>
      <c r="B20" s="574"/>
      <c r="C20" s="582"/>
      <c r="D20" s="451" t="s">
        <v>5</v>
      </c>
      <c r="E20" s="453">
        <f>SUM(F20:J21)</f>
        <v>1040</v>
      </c>
      <c r="F20" s="453">
        <v>240</v>
      </c>
      <c r="G20" s="453">
        <v>200</v>
      </c>
      <c r="H20" s="453">
        <v>200</v>
      </c>
      <c r="I20" s="453">
        <v>200</v>
      </c>
      <c r="J20" s="453">
        <v>200</v>
      </c>
      <c r="K20" s="574"/>
      <c r="L20" s="495"/>
      <c r="M20" s="495"/>
      <c r="N20" s="495"/>
      <c r="O20" s="495"/>
      <c r="P20" s="495"/>
      <c r="Q20" s="582"/>
    </row>
    <row r="21" spans="1:17" ht="6" customHeight="1">
      <c r="A21" s="482"/>
      <c r="B21" s="574"/>
      <c r="C21" s="582"/>
      <c r="D21" s="468"/>
      <c r="E21" s="469"/>
      <c r="F21" s="469"/>
      <c r="G21" s="469"/>
      <c r="H21" s="469"/>
      <c r="I21" s="469"/>
      <c r="J21" s="469"/>
      <c r="K21" s="574"/>
      <c r="L21" s="495"/>
      <c r="M21" s="495"/>
      <c r="N21" s="495"/>
      <c r="O21" s="495"/>
      <c r="P21" s="495"/>
      <c r="Q21" s="582"/>
    </row>
    <row r="22" spans="1:17" ht="16.5" customHeight="1">
      <c r="A22" s="482"/>
      <c r="B22" s="574"/>
      <c r="C22" s="582"/>
      <c r="D22" s="425" t="s">
        <v>6</v>
      </c>
      <c r="E22" s="453">
        <f>SUM(F22:J23)</f>
        <v>0</v>
      </c>
      <c r="F22" s="490">
        <v>0</v>
      </c>
      <c r="G22" s="490">
        <v>0</v>
      </c>
      <c r="H22" s="490">
        <v>0</v>
      </c>
      <c r="I22" s="490">
        <v>0</v>
      </c>
      <c r="J22" s="490">
        <v>0</v>
      </c>
      <c r="K22" s="574"/>
      <c r="L22" s="495"/>
      <c r="M22" s="495"/>
      <c r="N22" s="495"/>
      <c r="O22" s="495"/>
      <c r="P22" s="495"/>
      <c r="Q22" s="582"/>
    </row>
    <row r="23" spans="1:17" ht="8.25" customHeight="1" thickBot="1">
      <c r="A23" s="483"/>
      <c r="B23" s="575"/>
      <c r="C23" s="583"/>
      <c r="D23" s="425"/>
      <c r="E23" s="469"/>
      <c r="F23" s="490"/>
      <c r="G23" s="490"/>
      <c r="H23" s="490"/>
      <c r="I23" s="490"/>
      <c r="J23" s="490"/>
      <c r="K23" s="575"/>
      <c r="L23" s="496"/>
      <c r="M23" s="496"/>
      <c r="N23" s="496"/>
      <c r="O23" s="496"/>
      <c r="P23" s="496"/>
      <c r="Q23" s="583"/>
    </row>
    <row r="24" spans="1:17" ht="12.75" customHeight="1">
      <c r="A24" s="426"/>
      <c r="B24" s="434" t="s">
        <v>43</v>
      </c>
      <c r="C24" s="433"/>
      <c r="D24" s="763" t="s">
        <v>249</v>
      </c>
      <c r="E24" s="765">
        <f>SUM(F24:J25)</f>
        <v>1040</v>
      </c>
      <c r="F24" s="765">
        <f>SUM(F20)</f>
        <v>240</v>
      </c>
      <c r="G24" s="765">
        <f>SUM(G20)</f>
        <v>200</v>
      </c>
      <c r="H24" s="761">
        <f>SUM(H20)</f>
        <v>200</v>
      </c>
      <c r="I24" s="761">
        <f>SUM(I20)</f>
        <v>200</v>
      </c>
      <c r="J24" s="761">
        <f>SUM(J20)</f>
        <v>200</v>
      </c>
      <c r="K24" s="431"/>
      <c r="L24" s="425"/>
      <c r="M24" s="425"/>
      <c r="N24" s="425"/>
      <c r="O24" s="425"/>
      <c r="P24" s="425"/>
      <c r="Q24" s="426"/>
    </row>
    <row r="25" spans="1:17" ht="9.75" customHeight="1">
      <c r="A25" s="426"/>
      <c r="B25" s="434"/>
      <c r="C25" s="433"/>
      <c r="D25" s="764"/>
      <c r="E25" s="766"/>
      <c r="F25" s="766"/>
      <c r="G25" s="766"/>
      <c r="H25" s="762"/>
      <c r="I25" s="762"/>
      <c r="J25" s="762"/>
      <c r="K25" s="431"/>
      <c r="L25" s="425"/>
      <c r="M25" s="425"/>
      <c r="N25" s="425"/>
      <c r="O25" s="425"/>
      <c r="P25" s="425"/>
      <c r="Q25" s="426"/>
    </row>
    <row r="26" spans="1:17" ht="12" customHeight="1">
      <c r="A26" s="426"/>
      <c r="B26" s="434"/>
      <c r="C26" s="433"/>
      <c r="D26" s="66" t="s">
        <v>5</v>
      </c>
      <c r="E26" s="207">
        <f>SUM(F26:J26)</f>
        <v>1040</v>
      </c>
      <c r="F26" s="207">
        <f>SUM(F20)</f>
        <v>240</v>
      </c>
      <c r="G26" s="207">
        <f>SUM(G20)</f>
        <v>200</v>
      </c>
      <c r="H26" s="71">
        <f>SUM(H20)</f>
        <v>200</v>
      </c>
      <c r="I26" s="71">
        <f>SUM(I20)</f>
        <v>200</v>
      </c>
      <c r="J26" s="71">
        <f>SUM(J20)</f>
        <v>200</v>
      </c>
      <c r="K26" s="431"/>
      <c r="L26" s="425"/>
      <c r="M26" s="425"/>
      <c r="N26" s="425"/>
      <c r="O26" s="425"/>
      <c r="P26" s="425"/>
      <c r="Q26" s="426"/>
    </row>
    <row r="27" spans="1:17" ht="11.25" customHeight="1" thickBot="1">
      <c r="A27" s="426"/>
      <c r="B27" s="434"/>
      <c r="C27" s="433"/>
      <c r="D27" s="67" t="s">
        <v>6</v>
      </c>
      <c r="E27" s="72">
        <f>SUM(F27:J27)</f>
        <v>0</v>
      </c>
      <c r="F27" s="72">
        <v>0</v>
      </c>
      <c r="G27" s="72">
        <v>0</v>
      </c>
      <c r="H27" s="73">
        <v>0</v>
      </c>
      <c r="I27" s="73">
        <v>0</v>
      </c>
      <c r="J27" s="73">
        <v>0</v>
      </c>
      <c r="K27" s="431"/>
      <c r="L27" s="425"/>
      <c r="M27" s="425"/>
      <c r="N27" s="425"/>
      <c r="O27" s="425"/>
      <c r="P27" s="425"/>
      <c r="Q27" s="426"/>
    </row>
    <row r="28" spans="1:17" ht="11.25" customHeight="1">
      <c r="A28" s="23" t="s">
        <v>28</v>
      </c>
      <c r="B28" s="584" t="s">
        <v>81</v>
      </c>
      <c r="C28" s="548"/>
      <c r="D28" s="548"/>
      <c r="E28" s="548"/>
      <c r="F28" s="548"/>
      <c r="G28" s="548"/>
      <c r="H28" s="548"/>
      <c r="I28" s="548"/>
      <c r="J28" s="548"/>
      <c r="K28" s="548"/>
      <c r="L28" s="548"/>
      <c r="M28" s="548"/>
      <c r="N28" s="548"/>
      <c r="O28" s="548"/>
      <c r="P28" s="548"/>
      <c r="Q28" s="585"/>
    </row>
    <row r="29" spans="1:17" ht="24" customHeight="1">
      <c r="A29" s="455" t="s">
        <v>30</v>
      </c>
      <c r="B29" s="503" t="s">
        <v>47</v>
      </c>
      <c r="C29" s="426" t="s">
        <v>161</v>
      </c>
      <c r="D29" s="224" t="s">
        <v>249</v>
      </c>
      <c r="E29" s="23" t="s">
        <v>254</v>
      </c>
      <c r="F29" s="23" t="s">
        <v>243</v>
      </c>
      <c r="G29" s="23" t="s">
        <v>255</v>
      </c>
      <c r="H29" s="23" t="s">
        <v>255</v>
      </c>
      <c r="I29" s="23" t="s">
        <v>255</v>
      </c>
      <c r="J29" s="23" t="s">
        <v>255</v>
      </c>
      <c r="K29" s="458" t="s">
        <v>256</v>
      </c>
      <c r="L29" s="449" t="s">
        <v>236</v>
      </c>
      <c r="M29" s="449" t="s">
        <v>236</v>
      </c>
      <c r="N29" s="449" t="s">
        <v>236</v>
      </c>
      <c r="O29" s="449" t="s">
        <v>236</v>
      </c>
      <c r="P29" s="449" t="s">
        <v>236</v>
      </c>
      <c r="Q29" s="455" t="s">
        <v>136</v>
      </c>
    </row>
    <row r="30" spans="1:17" ht="16.5" customHeight="1">
      <c r="A30" s="482"/>
      <c r="B30" s="514"/>
      <c r="C30" s="494"/>
      <c r="D30" s="451" t="s">
        <v>5</v>
      </c>
      <c r="E30" s="453">
        <f>SUM(F30:J33)</f>
        <v>210</v>
      </c>
      <c r="F30" s="453">
        <v>70</v>
      </c>
      <c r="G30" s="453">
        <v>35</v>
      </c>
      <c r="H30" s="453">
        <v>35</v>
      </c>
      <c r="I30" s="453">
        <v>35</v>
      </c>
      <c r="J30" s="453">
        <v>35</v>
      </c>
      <c r="K30" s="582"/>
      <c r="L30" s="450"/>
      <c r="M30" s="450"/>
      <c r="N30" s="450"/>
      <c r="O30" s="450"/>
      <c r="P30" s="450"/>
      <c r="Q30" s="482"/>
    </row>
    <row r="31" spans="1:17" ht="1.5" customHeight="1">
      <c r="A31" s="482"/>
      <c r="B31" s="514"/>
      <c r="C31" s="494"/>
      <c r="D31" s="452"/>
      <c r="E31" s="454"/>
      <c r="F31" s="454"/>
      <c r="G31" s="454"/>
      <c r="H31" s="454"/>
      <c r="I31" s="454"/>
      <c r="J31" s="454"/>
      <c r="K31" s="583"/>
      <c r="L31" s="448"/>
      <c r="M31" s="448"/>
      <c r="N31" s="448"/>
      <c r="O31" s="448"/>
      <c r="P31" s="448"/>
      <c r="Q31" s="482"/>
    </row>
    <row r="32" spans="1:17" ht="16.5" customHeight="1">
      <c r="A32" s="482"/>
      <c r="B32" s="514"/>
      <c r="C32" s="494"/>
      <c r="D32" s="452"/>
      <c r="E32" s="454"/>
      <c r="F32" s="454"/>
      <c r="G32" s="454"/>
      <c r="H32" s="454"/>
      <c r="I32" s="454"/>
      <c r="J32" s="454"/>
      <c r="K32" s="513" t="s">
        <v>257</v>
      </c>
      <c r="L32" s="509" t="s">
        <v>236</v>
      </c>
      <c r="M32" s="509" t="s">
        <v>236</v>
      </c>
      <c r="N32" s="509" t="s">
        <v>236</v>
      </c>
      <c r="O32" s="509" t="s">
        <v>236</v>
      </c>
      <c r="P32" s="509" t="s">
        <v>236</v>
      </c>
      <c r="Q32" s="482"/>
    </row>
    <row r="33" spans="1:17" ht="16.5" customHeight="1" thickBot="1">
      <c r="A33" s="483"/>
      <c r="B33" s="514"/>
      <c r="C33" s="494"/>
      <c r="D33" s="767"/>
      <c r="E33" s="768"/>
      <c r="F33" s="768"/>
      <c r="G33" s="768"/>
      <c r="H33" s="768"/>
      <c r="I33" s="768"/>
      <c r="J33" s="768"/>
      <c r="K33" s="513"/>
      <c r="L33" s="557"/>
      <c r="M33" s="557"/>
      <c r="N33" s="557"/>
      <c r="O33" s="557"/>
      <c r="P33" s="557"/>
      <c r="Q33" s="483"/>
    </row>
    <row r="34" spans="1:17" ht="10.5" customHeight="1">
      <c r="A34" s="426"/>
      <c r="B34" s="434" t="s">
        <v>33</v>
      </c>
      <c r="C34" s="433"/>
      <c r="D34" s="763" t="s">
        <v>249</v>
      </c>
      <c r="E34" s="765">
        <f>SUM(F34:J35)</f>
        <v>210</v>
      </c>
      <c r="F34" s="765">
        <f>SUM(F36:F37)</f>
        <v>70</v>
      </c>
      <c r="G34" s="765">
        <f>SUM(G36:G37)</f>
        <v>35</v>
      </c>
      <c r="H34" s="761">
        <f>SUM(H36:H37)</f>
        <v>35</v>
      </c>
      <c r="I34" s="761">
        <f>SUM(I36:I37)</f>
        <v>35</v>
      </c>
      <c r="J34" s="761">
        <f>SUM(J36:J37)</f>
        <v>35</v>
      </c>
      <c r="K34" s="431"/>
      <c r="L34" s="425"/>
      <c r="M34" s="425"/>
      <c r="N34" s="425"/>
      <c r="O34" s="425"/>
      <c r="P34" s="425"/>
      <c r="Q34" s="426"/>
    </row>
    <row r="35" spans="1:17" ht="10.5" customHeight="1">
      <c r="A35" s="426"/>
      <c r="B35" s="434"/>
      <c r="C35" s="433"/>
      <c r="D35" s="764"/>
      <c r="E35" s="766"/>
      <c r="F35" s="766"/>
      <c r="G35" s="766"/>
      <c r="H35" s="762"/>
      <c r="I35" s="762"/>
      <c r="J35" s="762"/>
      <c r="K35" s="431"/>
      <c r="L35" s="425"/>
      <c r="M35" s="425"/>
      <c r="N35" s="425"/>
      <c r="O35" s="425"/>
      <c r="P35" s="425"/>
      <c r="Q35" s="426"/>
    </row>
    <row r="36" spans="1:17" ht="10.5" customHeight="1">
      <c r="A36" s="426"/>
      <c r="B36" s="434"/>
      <c r="C36" s="433"/>
      <c r="D36" s="66" t="s">
        <v>5</v>
      </c>
      <c r="E36" s="207">
        <f>SUM(F36:J36)</f>
        <v>210</v>
      </c>
      <c r="F36" s="207">
        <f>SUM(F30)</f>
        <v>70</v>
      </c>
      <c r="G36" s="207">
        <f>SUM(G30)</f>
        <v>35</v>
      </c>
      <c r="H36" s="71">
        <f>SUM(H30)</f>
        <v>35</v>
      </c>
      <c r="I36" s="71">
        <f>SUM(I30)</f>
        <v>35</v>
      </c>
      <c r="J36" s="71">
        <f>SUM(J30)</f>
        <v>35</v>
      </c>
      <c r="K36" s="431"/>
      <c r="L36" s="425"/>
      <c r="M36" s="425"/>
      <c r="N36" s="425"/>
      <c r="O36" s="425"/>
      <c r="P36" s="425"/>
      <c r="Q36" s="426"/>
    </row>
    <row r="37" spans="1:17" ht="10.5" customHeight="1" thickBot="1">
      <c r="A37" s="426"/>
      <c r="B37" s="434"/>
      <c r="C37" s="433"/>
      <c r="D37" s="67" t="s">
        <v>6</v>
      </c>
      <c r="E37" s="207">
        <f>SUM(F37:J37)</f>
        <v>0</v>
      </c>
      <c r="F37" s="72">
        <f>SUM(F32)</f>
        <v>0</v>
      </c>
      <c r="G37" s="72">
        <f>SUM(G32)</f>
        <v>0</v>
      </c>
      <c r="H37" s="73">
        <f>SUM(H32)</f>
        <v>0</v>
      </c>
      <c r="I37" s="73">
        <f>SUM(I32)</f>
        <v>0</v>
      </c>
      <c r="J37" s="73">
        <f>SUM(J32)</f>
        <v>0</v>
      </c>
      <c r="K37" s="431"/>
      <c r="L37" s="425"/>
      <c r="M37" s="425"/>
      <c r="N37" s="425"/>
      <c r="O37" s="425"/>
      <c r="P37" s="425"/>
      <c r="Q37" s="426"/>
    </row>
    <row r="38" spans="1:17" ht="15.75" customHeight="1" thickBot="1">
      <c r="A38" s="23" t="s">
        <v>34</v>
      </c>
      <c r="B38" s="546" t="s">
        <v>147</v>
      </c>
      <c r="C38" s="547"/>
      <c r="D38" s="547"/>
      <c r="E38" s="547"/>
      <c r="F38" s="547"/>
      <c r="G38" s="547"/>
      <c r="H38" s="547"/>
      <c r="I38" s="547"/>
      <c r="J38" s="547"/>
      <c r="K38" s="547"/>
      <c r="L38" s="547"/>
      <c r="M38" s="547"/>
      <c r="N38" s="547"/>
      <c r="O38" s="547"/>
      <c r="P38" s="547"/>
      <c r="Q38" s="549"/>
    </row>
    <row r="39" spans="1:17" ht="23.25" customHeight="1">
      <c r="A39" s="455" t="s">
        <v>36</v>
      </c>
      <c r="B39" s="503" t="s">
        <v>83</v>
      </c>
      <c r="C39" s="426" t="s">
        <v>161</v>
      </c>
      <c r="D39" s="173" t="s">
        <v>207</v>
      </c>
      <c r="E39" s="23" t="s">
        <v>208</v>
      </c>
      <c r="F39" s="23" t="s">
        <v>209</v>
      </c>
      <c r="G39" s="23" t="s">
        <v>210</v>
      </c>
      <c r="H39" s="23" t="s">
        <v>211</v>
      </c>
      <c r="I39" s="23" t="s">
        <v>211</v>
      </c>
      <c r="J39" s="23" t="s">
        <v>211</v>
      </c>
      <c r="K39" s="464" t="s">
        <v>258</v>
      </c>
      <c r="L39" s="223"/>
      <c r="M39" s="223"/>
      <c r="N39" s="223"/>
      <c r="O39" s="223"/>
      <c r="P39" s="223"/>
      <c r="Q39" s="167"/>
    </row>
    <row r="40" spans="1:17" ht="11.25" customHeight="1">
      <c r="A40" s="482"/>
      <c r="B40" s="514"/>
      <c r="C40" s="494"/>
      <c r="D40" s="580" t="s">
        <v>212</v>
      </c>
      <c r="E40" s="453">
        <f>SUM(F40:J41)</f>
        <v>546.5</v>
      </c>
      <c r="F40" s="453">
        <f>SUM(F48,F45,F51)</f>
        <v>356.5</v>
      </c>
      <c r="G40" s="453">
        <f>SUM(G48,G45,G51)</f>
        <v>100</v>
      </c>
      <c r="H40" s="453">
        <f>SUM(H48,H45,H51)</f>
        <v>30</v>
      </c>
      <c r="I40" s="453">
        <f>SUM(I48,I45,I51)</f>
        <v>30</v>
      </c>
      <c r="J40" s="453">
        <f>SUM(J48,J45,J51)</f>
        <v>30</v>
      </c>
      <c r="K40" s="470"/>
      <c r="L40" s="480">
        <v>100</v>
      </c>
      <c r="M40" s="480">
        <v>100</v>
      </c>
      <c r="N40" s="480">
        <v>100</v>
      </c>
      <c r="O40" s="480">
        <v>100</v>
      </c>
      <c r="P40" s="480">
        <v>100</v>
      </c>
      <c r="Q40" s="578" t="s">
        <v>132</v>
      </c>
    </row>
    <row r="41" spans="1:17" ht="6" customHeight="1">
      <c r="A41" s="482"/>
      <c r="B41" s="514"/>
      <c r="C41" s="494"/>
      <c r="D41" s="581"/>
      <c r="E41" s="469"/>
      <c r="F41" s="469"/>
      <c r="G41" s="469"/>
      <c r="H41" s="469"/>
      <c r="I41" s="469"/>
      <c r="J41" s="469"/>
      <c r="K41" s="470"/>
      <c r="L41" s="481"/>
      <c r="M41" s="481"/>
      <c r="N41" s="481"/>
      <c r="O41" s="481"/>
      <c r="P41" s="481"/>
      <c r="Q41" s="579"/>
    </row>
    <row r="42" spans="1:17" ht="11.25" customHeight="1">
      <c r="A42" s="482"/>
      <c r="B42" s="514"/>
      <c r="C42" s="494"/>
      <c r="D42" s="581"/>
      <c r="E42" s="453">
        <f>SUM(F42:J43)</f>
        <v>755.4</v>
      </c>
      <c r="F42" s="490">
        <f>SUM(F49,F46,F52)</f>
        <v>465.4</v>
      </c>
      <c r="G42" s="511">
        <f>SUM(G49,G46,G52)</f>
        <v>200</v>
      </c>
      <c r="H42" s="511">
        <f>SUM(H49,H46,H52)</f>
        <v>30</v>
      </c>
      <c r="I42" s="511">
        <f>SUM(I49,I46,I52)</f>
        <v>30</v>
      </c>
      <c r="J42" s="511">
        <f>SUM(J49,J46,J52)</f>
        <v>30</v>
      </c>
      <c r="K42" s="470"/>
      <c r="L42" s="480">
        <v>100</v>
      </c>
      <c r="M42" s="480">
        <v>100</v>
      </c>
      <c r="N42" s="480">
        <v>100</v>
      </c>
      <c r="O42" s="480">
        <v>100</v>
      </c>
      <c r="P42" s="480">
        <v>100</v>
      </c>
      <c r="Q42" s="502" t="s">
        <v>131</v>
      </c>
    </row>
    <row r="43" spans="1:17" ht="6" customHeight="1" thickBot="1">
      <c r="A43" s="483"/>
      <c r="B43" s="514"/>
      <c r="C43" s="494"/>
      <c r="D43" s="760"/>
      <c r="E43" s="454"/>
      <c r="F43" s="511"/>
      <c r="G43" s="571"/>
      <c r="H43" s="571"/>
      <c r="I43" s="571"/>
      <c r="J43" s="571"/>
      <c r="K43" s="465"/>
      <c r="L43" s="481"/>
      <c r="M43" s="481"/>
      <c r="N43" s="481"/>
      <c r="O43" s="481"/>
      <c r="P43" s="481"/>
      <c r="Q43" s="502"/>
    </row>
    <row r="44" spans="1:17" ht="20.25" customHeight="1">
      <c r="A44" s="455" t="s">
        <v>82</v>
      </c>
      <c r="B44" s="458" t="s">
        <v>84</v>
      </c>
      <c r="C44" s="461" t="s">
        <v>161</v>
      </c>
      <c r="D44" s="173" t="s">
        <v>207</v>
      </c>
      <c r="E44" s="229">
        <f>SUM(F44:J44)</f>
        <v>0</v>
      </c>
      <c r="F44" s="61">
        <v>0</v>
      </c>
      <c r="G44" s="61">
        <v>0</v>
      </c>
      <c r="H44" s="61">
        <v>0</v>
      </c>
      <c r="I44" s="61">
        <v>0</v>
      </c>
      <c r="J44" s="61">
        <v>0</v>
      </c>
      <c r="K44" s="544" t="s">
        <v>258</v>
      </c>
      <c r="L44" s="237"/>
      <c r="M44" s="237"/>
      <c r="N44" s="237"/>
      <c r="O44" s="237"/>
      <c r="P44" s="237"/>
      <c r="Q44" s="228"/>
    </row>
    <row r="45" spans="1:17" ht="22.5" customHeight="1">
      <c r="A45" s="482"/>
      <c r="B45" s="574"/>
      <c r="C45" s="484"/>
      <c r="D45" s="210" t="s">
        <v>5</v>
      </c>
      <c r="E45" s="213">
        <f aca="true" t="shared" si="1" ref="E45:E52">SUM(F45:J45)</f>
        <v>0</v>
      </c>
      <c r="F45" s="201">
        <v>0</v>
      </c>
      <c r="G45" s="201">
        <v>0</v>
      </c>
      <c r="H45" s="201">
        <v>0</v>
      </c>
      <c r="I45" s="201">
        <v>0</v>
      </c>
      <c r="J45" s="201">
        <v>0</v>
      </c>
      <c r="K45" s="576"/>
      <c r="L45" s="237">
        <v>0</v>
      </c>
      <c r="M45" s="237">
        <v>0</v>
      </c>
      <c r="N45" s="237">
        <v>0</v>
      </c>
      <c r="O45" s="237">
        <v>0</v>
      </c>
      <c r="P45" s="237">
        <v>0</v>
      </c>
      <c r="Q45" s="168" t="s">
        <v>129</v>
      </c>
    </row>
    <row r="46" spans="1:17" ht="22.5" customHeight="1" thickBot="1">
      <c r="A46" s="483"/>
      <c r="B46" s="575"/>
      <c r="C46" s="485"/>
      <c r="D46" s="210" t="s">
        <v>5</v>
      </c>
      <c r="E46" s="213">
        <f t="shared" si="1"/>
        <v>0</v>
      </c>
      <c r="F46" s="201">
        <v>0</v>
      </c>
      <c r="G46" s="201">
        <v>0</v>
      </c>
      <c r="H46" s="201">
        <v>0</v>
      </c>
      <c r="I46" s="201">
        <v>0</v>
      </c>
      <c r="J46" s="201">
        <v>0</v>
      </c>
      <c r="K46" s="577"/>
      <c r="L46" s="237">
        <v>0</v>
      </c>
      <c r="M46" s="237">
        <v>0</v>
      </c>
      <c r="N46" s="237">
        <v>0</v>
      </c>
      <c r="O46" s="237">
        <v>0</v>
      </c>
      <c r="P46" s="237">
        <v>0</v>
      </c>
      <c r="Q46" s="168" t="s">
        <v>130</v>
      </c>
    </row>
    <row r="47" spans="1:17" ht="22.5" customHeight="1">
      <c r="A47" s="455" t="s">
        <v>85</v>
      </c>
      <c r="B47" s="458" t="s">
        <v>86</v>
      </c>
      <c r="C47" s="461" t="s">
        <v>161</v>
      </c>
      <c r="D47" s="173" t="s">
        <v>207</v>
      </c>
      <c r="E47" s="229">
        <f aca="true" t="shared" si="2" ref="E47:J47">SUM(E48:E49)</f>
        <v>242.9</v>
      </c>
      <c r="F47" s="229">
        <f t="shared" si="2"/>
        <v>62.9</v>
      </c>
      <c r="G47" s="229">
        <f t="shared" si="2"/>
        <v>0</v>
      </c>
      <c r="H47" s="229">
        <f t="shared" si="2"/>
        <v>60</v>
      </c>
      <c r="I47" s="229">
        <f t="shared" si="2"/>
        <v>60</v>
      </c>
      <c r="J47" s="229">
        <f t="shared" si="2"/>
        <v>60</v>
      </c>
      <c r="K47" s="544" t="s">
        <v>258</v>
      </c>
      <c r="L47" s="237"/>
      <c r="M47" s="237"/>
      <c r="N47" s="237"/>
      <c r="O47" s="237"/>
      <c r="P47" s="237"/>
      <c r="Q47" s="168"/>
    </row>
    <row r="48" spans="1:17" ht="22.5" customHeight="1">
      <c r="A48" s="482"/>
      <c r="B48" s="574"/>
      <c r="C48" s="484"/>
      <c r="D48" s="210" t="s">
        <v>5</v>
      </c>
      <c r="E48" s="213">
        <f t="shared" si="1"/>
        <v>121.5</v>
      </c>
      <c r="F48" s="201">
        <v>31.5</v>
      </c>
      <c r="G48" s="207">
        <f>30-30</f>
        <v>0</v>
      </c>
      <c r="H48" s="207">
        <v>30</v>
      </c>
      <c r="I48" s="207">
        <v>30</v>
      </c>
      <c r="J48" s="207">
        <v>30</v>
      </c>
      <c r="K48" s="576"/>
      <c r="L48" s="237">
        <v>100</v>
      </c>
      <c r="M48" s="237">
        <v>0</v>
      </c>
      <c r="N48" s="237">
        <v>100</v>
      </c>
      <c r="O48" s="237">
        <v>100</v>
      </c>
      <c r="P48" s="237">
        <v>100</v>
      </c>
      <c r="Q48" s="168" t="s">
        <v>129</v>
      </c>
    </row>
    <row r="49" spans="1:17" ht="22.5" customHeight="1" thickBot="1">
      <c r="A49" s="483"/>
      <c r="B49" s="575"/>
      <c r="C49" s="485"/>
      <c r="D49" s="210" t="s">
        <v>5</v>
      </c>
      <c r="E49" s="213">
        <f t="shared" si="1"/>
        <v>121.4</v>
      </c>
      <c r="F49" s="207">
        <v>31.4</v>
      </c>
      <c r="G49" s="207">
        <f>30-30</f>
        <v>0</v>
      </c>
      <c r="H49" s="207">
        <v>30</v>
      </c>
      <c r="I49" s="207">
        <v>30</v>
      </c>
      <c r="J49" s="207">
        <v>30</v>
      </c>
      <c r="K49" s="577"/>
      <c r="L49" s="237">
        <v>100</v>
      </c>
      <c r="M49" s="237">
        <v>0</v>
      </c>
      <c r="N49" s="237">
        <v>100</v>
      </c>
      <c r="O49" s="237">
        <v>100</v>
      </c>
      <c r="P49" s="237">
        <v>100</v>
      </c>
      <c r="Q49" s="168" t="s">
        <v>130</v>
      </c>
    </row>
    <row r="50" spans="1:17" ht="22.5" customHeight="1">
      <c r="A50" s="455" t="s">
        <v>138</v>
      </c>
      <c r="B50" s="458" t="s">
        <v>139</v>
      </c>
      <c r="C50" s="461" t="s">
        <v>161</v>
      </c>
      <c r="D50" s="173" t="s">
        <v>207</v>
      </c>
      <c r="E50" s="202">
        <v>1059</v>
      </c>
      <c r="F50" s="231">
        <v>759</v>
      </c>
      <c r="G50" s="231">
        <v>300</v>
      </c>
      <c r="H50" s="61">
        <v>0</v>
      </c>
      <c r="I50" s="61">
        <v>0</v>
      </c>
      <c r="J50" s="61">
        <v>0</v>
      </c>
      <c r="K50" s="544" t="s">
        <v>258</v>
      </c>
      <c r="L50" s="237"/>
      <c r="M50" s="237"/>
      <c r="N50" s="237"/>
      <c r="O50" s="237"/>
      <c r="P50" s="237"/>
      <c r="Q50" s="168"/>
    </row>
    <row r="51" spans="1:17" ht="21.75" customHeight="1">
      <c r="A51" s="482"/>
      <c r="B51" s="574"/>
      <c r="C51" s="484"/>
      <c r="D51" s="205" t="s">
        <v>5</v>
      </c>
      <c r="E51" s="211">
        <f t="shared" si="1"/>
        <v>425</v>
      </c>
      <c r="F51" s="216">
        <v>325</v>
      </c>
      <c r="G51" s="216">
        <v>100</v>
      </c>
      <c r="H51" s="216">
        <v>0</v>
      </c>
      <c r="I51" s="216">
        <v>0</v>
      </c>
      <c r="J51" s="216">
        <v>0</v>
      </c>
      <c r="K51" s="576"/>
      <c r="L51" s="237">
        <v>100</v>
      </c>
      <c r="M51" s="237">
        <v>100</v>
      </c>
      <c r="N51" s="237">
        <v>0</v>
      </c>
      <c r="O51" s="237">
        <v>0</v>
      </c>
      <c r="P51" s="237">
        <v>0</v>
      </c>
      <c r="Q51" s="168" t="s">
        <v>129</v>
      </c>
    </row>
    <row r="52" spans="1:17" ht="21.75" customHeight="1">
      <c r="A52" s="483"/>
      <c r="B52" s="575"/>
      <c r="C52" s="485"/>
      <c r="D52" s="205" t="s">
        <v>5</v>
      </c>
      <c r="E52" s="211">
        <f t="shared" si="1"/>
        <v>634</v>
      </c>
      <c r="F52" s="216">
        <v>434</v>
      </c>
      <c r="G52" s="216">
        <v>200</v>
      </c>
      <c r="H52" s="216">
        <v>0</v>
      </c>
      <c r="I52" s="216">
        <v>0</v>
      </c>
      <c r="J52" s="216">
        <v>0</v>
      </c>
      <c r="K52" s="577"/>
      <c r="L52" s="237">
        <v>100</v>
      </c>
      <c r="M52" s="237">
        <v>100</v>
      </c>
      <c r="N52" s="237">
        <v>0</v>
      </c>
      <c r="O52" s="237">
        <v>0</v>
      </c>
      <c r="P52" s="237">
        <v>0</v>
      </c>
      <c r="Q52" s="168" t="s">
        <v>130</v>
      </c>
    </row>
    <row r="53" spans="1:17" ht="6.75" customHeight="1">
      <c r="A53" s="455" t="s">
        <v>64</v>
      </c>
      <c r="B53" s="458" t="s">
        <v>89</v>
      </c>
      <c r="C53" s="461" t="s">
        <v>161</v>
      </c>
      <c r="D53" s="524" t="s">
        <v>259</v>
      </c>
      <c r="E53" s="515">
        <f>SUM(F53:J56)</f>
        <v>1520.9</v>
      </c>
      <c r="F53" s="515">
        <f>SUM(F59,F61,F64)</f>
        <v>260.8</v>
      </c>
      <c r="G53" s="515">
        <f>SUM(G56:G57)</f>
        <v>419.3</v>
      </c>
      <c r="H53" s="515">
        <f>SUM(H56:H57)</f>
        <v>80</v>
      </c>
      <c r="I53" s="515">
        <f>SUM(I56:I57)</f>
        <v>80</v>
      </c>
      <c r="J53" s="515">
        <f>SUM(J56:J57)</f>
        <v>80</v>
      </c>
      <c r="K53" s="464"/>
      <c r="L53" s="509"/>
      <c r="M53" s="509"/>
      <c r="N53" s="509"/>
      <c r="O53" s="509"/>
      <c r="P53" s="509"/>
      <c r="Q53" s="502"/>
    </row>
    <row r="54" spans="1:17" ht="6.75" customHeight="1">
      <c r="A54" s="475"/>
      <c r="B54" s="476"/>
      <c r="C54" s="462"/>
      <c r="D54" s="525"/>
      <c r="E54" s="516"/>
      <c r="F54" s="516"/>
      <c r="G54" s="516"/>
      <c r="H54" s="516"/>
      <c r="I54" s="516"/>
      <c r="J54" s="516"/>
      <c r="K54" s="470"/>
      <c r="L54" s="557"/>
      <c r="M54" s="557"/>
      <c r="N54" s="557"/>
      <c r="O54" s="557"/>
      <c r="P54" s="557"/>
      <c r="Q54" s="487"/>
    </row>
    <row r="55" spans="1:17" ht="6.75" customHeight="1">
      <c r="A55" s="475"/>
      <c r="B55" s="476"/>
      <c r="C55" s="462"/>
      <c r="D55" s="525"/>
      <c r="E55" s="523"/>
      <c r="F55" s="523"/>
      <c r="G55" s="523"/>
      <c r="H55" s="523"/>
      <c r="I55" s="523"/>
      <c r="J55" s="523"/>
      <c r="K55" s="470"/>
      <c r="L55" s="557"/>
      <c r="M55" s="557"/>
      <c r="N55" s="557"/>
      <c r="O55" s="557"/>
      <c r="P55" s="557"/>
      <c r="Q55" s="487"/>
    </row>
    <row r="56" spans="1:17" ht="17.25" customHeight="1">
      <c r="A56" s="475"/>
      <c r="B56" s="476"/>
      <c r="C56" s="462"/>
      <c r="D56" s="172" t="s">
        <v>5</v>
      </c>
      <c r="E56" s="203">
        <f>E53</f>
        <v>1520.9</v>
      </c>
      <c r="F56" s="203">
        <f>F53</f>
        <v>260.8</v>
      </c>
      <c r="G56" s="203">
        <f>SUM(G59,G61,G64)</f>
        <v>100</v>
      </c>
      <c r="H56" s="203">
        <f>H61</f>
        <v>80</v>
      </c>
      <c r="I56" s="203">
        <f>I61</f>
        <v>80</v>
      </c>
      <c r="J56" s="203">
        <f>J61</f>
        <v>80</v>
      </c>
      <c r="K56" s="470"/>
      <c r="L56" s="557"/>
      <c r="M56" s="557"/>
      <c r="N56" s="557"/>
      <c r="O56" s="557"/>
      <c r="P56" s="557"/>
      <c r="Q56" s="487"/>
    </row>
    <row r="57" spans="1:17" ht="17.25" customHeight="1">
      <c r="A57" s="457"/>
      <c r="B57" s="460"/>
      <c r="C57" s="463"/>
      <c r="D57" s="207" t="s">
        <v>6</v>
      </c>
      <c r="E57" s="207">
        <f aca="true" t="shared" si="3" ref="E57:J57">E67</f>
        <v>319.3</v>
      </c>
      <c r="F57" s="207">
        <f t="shared" si="3"/>
        <v>0</v>
      </c>
      <c r="G57" s="207">
        <f t="shared" si="3"/>
        <v>319.3</v>
      </c>
      <c r="H57" s="207">
        <f t="shared" si="3"/>
        <v>0</v>
      </c>
      <c r="I57" s="207">
        <f t="shared" si="3"/>
        <v>0</v>
      </c>
      <c r="J57" s="207">
        <f t="shared" si="3"/>
        <v>0</v>
      </c>
      <c r="K57" s="465"/>
      <c r="L57" s="557"/>
      <c r="M57" s="557"/>
      <c r="N57" s="557"/>
      <c r="O57" s="557"/>
      <c r="P57" s="557"/>
      <c r="Q57" s="487"/>
    </row>
    <row r="58" spans="1:17" ht="24.75" customHeight="1">
      <c r="A58" s="455" t="s">
        <v>87</v>
      </c>
      <c r="B58" s="458" t="s">
        <v>84</v>
      </c>
      <c r="C58" s="461" t="s">
        <v>161</v>
      </c>
      <c r="D58" s="196" t="s">
        <v>207</v>
      </c>
      <c r="E58" s="204">
        <f aca="true" t="shared" si="4" ref="E58:J58">E59</f>
        <v>104.4</v>
      </c>
      <c r="F58" s="204">
        <f t="shared" si="4"/>
        <v>104.4</v>
      </c>
      <c r="G58" s="204">
        <f t="shared" si="4"/>
        <v>0</v>
      </c>
      <c r="H58" s="204">
        <f t="shared" si="4"/>
        <v>0</v>
      </c>
      <c r="I58" s="204">
        <f t="shared" si="4"/>
        <v>0</v>
      </c>
      <c r="J58" s="204">
        <f t="shared" si="4"/>
        <v>0</v>
      </c>
      <c r="K58" s="545" t="s">
        <v>261</v>
      </c>
      <c r="L58" s="509" t="s">
        <v>236</v>
      </c>
      <c r="M58" s="509" t="s">
        <v>213</v>
      </c>
      <c r="N58" s="509" t="s">
        <v>213</v>
      </c>
      <c r="O58" s="509" t="s">
        <v>213</v>
      </c>
      <c r="P58" s="509" t="s">
        <v>213</v>
      </c>
      <c r="Q58" s="522" t="s">
        <v>51</v>
      </c>
    </row>
    <row r="59" spans="1:17" ht="11.25" customHeight="1">
      <c r="A59" s="456"/>
      <c r="B59" s="459"/>
      <c r="C59" s="462"/>
      <c r="D59" s="451" t="s">
        <v>5</v>
      </c>
      <c r="E59" s="454">
        <f>SUM(F59:J60)</f>
        <v>104.4</v>
      </c>
      <c r="F59" s="573">
        <v>104.4</v>
      </c>
      <c r="G59" s="572">
        <v>0</v>
      </c>
      <c r="H59" s="572">
        <v>0</v>
      </c>
      <c r="I59" s="572">
        <v>0</v>
      </c>
      <c r="J59" s="572">
        <v>0</v>
      </c>
      <c r="K59" s="545"/>
      <c r="L59" s="557"/>
      <c r="M59" s="557"/>
      <c r="N59" s="557"/>
      <c r="O59" s="557"/>
      <c r="P59" s="557"/>
      <c r="Q59" s="510"/>
    </row>
    <row r="60" spans="1:17" ht="12.75" customHeight="1" thickBot="1">
      <c r="A60" s="457"/>
      <c r="B60" s="460"/>
      <c r="C60" s="463"/>
      <c r="D60" s="468"/>
      <c r="E60" s="469"/>
      <c r="F60" s="559"/>
      <c r="G60" s="571"/>
      <c r="H60" s="571"/>
      <c r="I60" s="571"/>
      <c r="J60" s="571"/>
      <c r="K60" s="545"/>
      <c r="L60" s="557"/>
      <c r="M60" s="557"/>
      <c r="N60" s="557"/>
      <c r="O60" s="557"/>
      <c r="P60" s="557"/>
      <c r="Q60" s="510"/>
    </row>
    <row r="61" spans="1:17" ht="22.5" customHeight="1">
      <c r="A61" s="455" t="s">
        <v>88</v>
      </c>
      <c r="B61" s="458" t="s">
        <v>86</v>
      </c>
      <c r="C61" s="461" t="s">
        <v>161</v>
      </c>
      <c r="D61" s="173" t="s">
        <v>207</v>
      </c>
      <c r="E61" s="203">
        <f aca="true" t="shared" si="5" ref="E61:J61">E62</f>
        <v>332.8</v>
      </c>
      <c r="F61" s="203">
        <f t="shared" si="5"/>
        <v>92.8</v>
      </c>
      <c r="G61" s="203">
        <f t="shared" si="5"/>
        <v>0</v>
      </c>
      <c r="H61" s="203">
        <f t="shared" si="5"/>
        <v>80</v>
      </c>
      <c r="I61" s="203">
        <f t="shared" si="5"/>
        <v>80</v>
      </c>
      <c r="J61" s="203">
        <f t="shared" si="5"/>
        <v>80</v>
      </c>
      <c r="K61" s="545" t="s">
        <v>261</v>
      </c>
      <c r="L61" s="509" t="s">
        <v>236</v>
      </c>
      <c r="M61" s="509" t="s">
        <v>213</v>
      </c>
      <c r="N61" s="509" t="s">
        <v>236</v>
      </c>
      <c r="O61" s="509" t="s">
        <v>236</v>
      </c>
      <c r="P61" s="509" t="s">
        <v>236</v>
      </c>
      <c r="Q61" s="522" t="s">
        <v>51</v>
      </c>
    </row>
    <row r="62" spans="1:17" ht="12" customHeight="1">
      <c r="A62" s="456"/>
      <c r="B62" s="459"/>
      <c r="C62" s="462"/>
      <c r="D62" s="451" t="s">
        <v>5</v>
      </c>
      <c r="E62" s="453">
        <f>SUM(F62:J63)</f>
        <v>332.8</v>
      </c>
      <c r="F62" s="558">
        <v>92.8</v>
      </c>
      <c r="G62" s="511">
        <f>80-80</f>
        <v>0</v>
      </c>
      <c r="H62" s="511">
        <v>80</v>
      </c>
      <c r="I62" s="511">
        <v>80</v>
      </c>
      <c r="J62" s="511">
        <v>80</v>
      </c>
      <c r="K62" s="545"/>
      <c r="L62" s="557"/>
      <c r="M62" s="557"/>
      <c r="N62" s="557"/>
      <c r="O62" s="557"/>
      <c r="P62" s="557"/>
      <c r="Q62" s="510"/>
    </row>
    <row r="63" spans="1:17" ht="12.75" customHeight="1" thickBot="1">
      <c r="A63" s="457"/>
      <c r="B63" s="460"/>
      <c r="C63" s="463"/>
      <c r="D63" s="468"/>
      <c r="E63" s="469"/>
      <c r="F63" s="559"/>
      <c r="G63" s="571"/>
      <c r="H63" s="571"/>
      <c r="I63" s="571"/>
      <c r="J63" s="571"/>
      <c r="K63" s="545"/>
      <c r="L63" s="557"/>
      <c r="M63" s="557"/>
      <c r="N63" s="557"/>
      <c r="O63" s="557"/>
      <c r="P63" s="557"/>
      <c r="Q63" s="510"/>
    </row>
    <row r="64" spans="1:17" ht="21" customHeight="1">
      <c r="A64" s="455" t="s">
        <v>140</v>
      </c>
      <c r="B64" s="458" t="s">
        <v>139</v>
      </c>
      <c r="C64" s="461" t="s">
        <v>161</v>
      </c>
      <c r="D64" s="173" t="s">
        <v>207</v>
      </c>
      <c r="E64" s="229">
        <f aca="true" t="shared" si="6" ref="E64:J64">E65</f>
        <v>163.6</v>
      </c>
      <c r="F64" s="229">
        <f t="shared" si="6"/>
        <v>63.6</v>
      </c>
      <c r="G64" s="229">
        <f>G65</f>
        <v>100</v>
      </c>
      <c r="H64" s="229">
        <f t="shared" si="6"/>
        <v>0</v>
      </c>
      <c r="I64" s="229">
        <f t="shared" si="6"/>
        <v>0</v>
      </c>
      <c r="J64" s="229">
        <f t="shared" si="6"/>
        <v>0</v>
      </c>
      <c r="K64" s="464" t="s">
        <v>261</v>
      </c>
      <c r="L64" s="449" t="s">
        <v>236</v>
      </c>
      <c r="M64" s="449" t="s">
        <v>236</v>
      </c>
      <c r="N64" s="449" t="s">
        <v>213</v>
      </c>
      <c r="O64" s="449" t="s">
        <v>213</v>
      </c>
      <c r="P64" s="449" t="s">
        <v>213</v>
      </c>
      <c r="Q64" s="455" t="s">
        <v>51</v>
      </c>
    </row>
    <row r="65" spans="1:17" ht="13.5" customHeight="1">
      <c r="A65" s="565"/>
      <c r="B65" s="565"/>
      <c r="C65" s="565"/>
      <c r="D65" s="220" t="s">
        <v>5</v>
      </c>
      <c r="E65" s="214">
        <f>SUM(F65:J65)</f>
        <v>163.6</v>
      </c>
      <c r="F65" s="222">
        <v>63.6</v>
      </c>
      <c r="G65" s="222">
        <v>100</v>
      </c>
      <c r="H65" s="222">
        <v>0</v>
      </c>
      <c r="I65" s="222">
        <v>0</v>
      </c>
      <c r="J65" s="222">
        <v>0</v>
      </c>
      <c r="K65" s="565"/>
      <c r="L65" s="565"/>
      <c r="M65" s="472"/>
      <c r="N65" s="565"/>
      <c r="O65" s="472"/>
      <c r="P65" s="472"/>
      <c r="Q65" s="565"/>
    </row>
    <row r="66" spans="1:17" ht="67.5" customHeight="1">
      <c r="A66" s="236" t="s">
        <v>294</v>
      </c>
      <c r="B66" s="200" t="s">
        <v>291</v>
      </c>
      <c r="C66" s="445" t="s">
        <v>161</v>
      </c>
      <c r="D66" s="199" t="s">
        <v>249</v>
      </c>
      <c r="E66" s="213">
        <f aca="true" t="shared" si="7" ref="E66:J66">E67+E68</f>
        <v>319.3</v>
      </c>
      <c r="F66" s="213">
        <f t="shared" si="7"/>
        <v>0</v>
      </c>
      <c r="G66" s="213">
        <f t="shared" si="7"/>
        <v>319.3</v>
      </c>
      <c r="H66" s="213">
        <f t="shared" si="7"/>
        <v>0</v>
      </c>
      <c r="I66" s="213">
        <f t="shared" si="7"/>
        <v>0</v>
      </c>
      <c r="J66" s="213">
        <f t="shared" si="7"/>
        <v>0</v>
      </c>
      <c r="K66" s="568" t="s">
        <v>293</v>
      </c>
      <c r="L66" s="451">
        <v>0</v>
      </c>
      <c r="M66" s="451">
        <v>100</v>
      </c>
      <c r="N66" s="451">
        <v>0</v>
      </c>
      <c r="O66" s="451">
        <v>0</v>
      </c>
      <c r="P66" s="451">
        <v>0</v>
      </c>
      <c r="Q66" s="451" t="s">
        <v>51</v>
      </c>
    </row>
    <row r="67" spans="1:17" ht="157.5" customHeight="1">
      <c r="A67" s="236" t="s">
        <v>295</v>
      </c>
      <c r="B67" s="230" t="s">
        <v>292</v>
      </c>
      <c r="C67" s="566"/>
      <c r="D67" s="210" t="s">
        <v>6</v>
      </c>
      <c r="E67" s="213">
        <f>F67+G67+H67+I67+J67</f>
        <v>319.3</v>
      </c>
      <c r="F67" s="213">
        <v>0</v>
      </c>
      <c r="G67" s="213">
        <v>319.3</v>
      </c>
      <c r="H67" s="213">
        <v>0</v>
      </c>
      <c r="I67" s="213">
        <v>0</v>
      </c>
      <c r="J67" s="213">
        <v>0</v>
      </c>
      <c r="K67" s="569"/>
      <c r="L67" s="505"/>
      <c r="M67" s="505"/>
      <c r="N67" s="505"/>
      <c r="O67" s="505"/>
      <c r="P67" s="505"/>
      <c r="Q67" s="505"/>
    </row>
    <row r="68" spans="1:17" ht="24" customHeight="1">
      <c r="A68" s="208" t="s">
        <v>296</v>
      </c>
      <c r="B68" s="230" t="s">
        <v>204</v>
      </c>
      <c r="C68" s="567"/>
      <c r="D68" s="210" t="s">
        <v>5</v>
      </c>
      <c r="E68" s="213">
        <f>F68+G68+H68+I68+J68</f>
        <v>0</v>
      </c>
      <c r="F68" s="213">
        <v>0</v>
      </c>
      <c r="G68" s="213">
        <v>0</v>
      </c>
      <c r="H68" s="213">
        <v>0</v>
      </c>
      <c r="I68" s="213">
        <v>0</v>
      </c>
      <c r="J68" s="213">
        <v>0</v>
      </c>
      <c r="K68" s="570"/>
      <c r="L68" s="531"/>
      <c r="M68" s="531"/>
      <c r="N68" s="531"/>
      <c r="O68" s="531"/>
      <c r="P68" s="531"/>
      <c r="Q68" s="531"/>
    </row>
    <row r="69" spans="1:17" ht="6.75" customHeight="1">
      <c r="A69" s="455" t="s">
        <v>90</v>
      </c>
      <c r="B69" s="458" t="s">
        <v>92</v>
      </c>
      <c r="C69" s="461" t="s">
        <v>161</v>
      </c>
      <c r="D69" s="478" t="s">
        <v>224</v>
      </c>
      <c r="E69" s="562">
        <f>SUM(F69:J72)</f>
        <v>880.8</v>
      </c>
      <c r="F69" s="562">
        <f>SUM(F76,F79,F80)</f>
        <v>800.8</v>
      </c>
      <c r="G69" s="562">
        <f>SUM(G76,G79)</f>
        <v>20</v>
      </c>
      <c r="H69" s="562">
        <f>SUM(H76,H79)</f>
        <v>20</v>
      </c>
      <c r="I69" s="562">
        <f>SUM(I76,I79)</f>
        <v>20</v>
      </c>
      <c r="J69" s="562">
        <f>SUM(J76,J79)</f>
        <v>20</v>
      </c>
      <c r="K69" s="513"/>
      <c r="L69" s="509"/>
      <c r="M69" s="509"/>
      <c r="N69" s="509"/>
      <c r="O69" s="509"/>
      <c r="P69" s="509"/>
      <c r="Q69" s="502"/>
    </row>
    <row r="70" spans="1:17" ht="6.75" customHeight="1">
      <c r="A70" s="475"/>
      <c r="B70" s="476"/>
      <c r="C70" s="462"/>
      <c r="D70" s="517"/>
      <c r="E70" s="563"/>
      <c r="F70" s="563"/>
      <c r="G70" s="563"/>
      <c r="H70" s="563"/>
      <c r="I70" s="563"/>
      <c r="J70" s="563"/>
      <c r="K70" s="545"/>
      <c r="L70" s="557"/>
      <c r="M70" s="557"/>
      <c r="N70" s="557"/>
      <c r="O70" s="557"/>
      <c r="P70" s="557"/>
      <c r="Q70" s="487"/>
    </row>
    <row r="71" spans="1:17" ht="10.5" customHeight="1">
      <c r="A71" s="475"/>
      <c r="B71" s="476"/>
      <c r="C71" s="462"/>
      <c r="D71" s="517"/>
      <c r="E71" s="563"/>
      <c r="F71" s="563"/>
      <c r="G71" s="563"/>
      <c r="H71" s="563"/>
      <c r="I71" s="563"/>
      <c r="J71" s="563"/>
      <c r="K71" s="545"/>
      <c r="L71" s="557"/>
      <c r="M71" s="557"/>
      <c r="N71" s="557"/>
      <c r="O71" s="557"/>
      <c r="P71" s="557"/>
      <c r="Q71" s="487"/>
    </row>
    <row r="72" spans="1:17" ht="10.5" customHeight="1">
      <c r="A72" s="475"/>
      <c r="B72" s="476"/>
      <c r="C72" s="462"/>
      <c r="D72" s="479"/>
      <c r="E72" s="564"/>
      <c r="F72" s="564"/>
      <c r="G72" s="564"/>
      <c r="H72" s="564"/>
      <c r="I72" s="564"/>
      <c r="J72" s="564"/>
      <c r="K72" s="545"/>
      <c r="L72" s="557"/>
      <c r="M72" s="557"/>
      <c r="N72" s="557"/>
      <c r="O72" s="557"/>
      <c r="P72" s="557"/>
      <c r="Q72" s="487"/>
    </row>
    <row r="73" spans="1:17" ht="10.5" customHeight="1">
      <c r="A73" s="456"/>
      <c r="B73" s="459"/>
      <c r="C73" s="462"/>
      <c r="D73" s="210" t="s">
        <v>5</v>
      </c>
      <c r="E73" s="193">
        <f aca="true" t="shared" si="8" ref="E73:J73">E69</f>
        <v>880.8</v>
      </c>
      <c r="F73" s="193">
        <f t="shared" si="8"/>
        <v>800.8</v>
      </c>
      <c r="G73" s="193">
        <f t="shared" si="8"/>
        <v>20</v>
      </c>
      <c r="H73" s="193">
        <f t="shared" si="8"/>
        <v>20</v>
      </c>
      <c r="I73" s="193">
        <f t="shared" si="8"/>
        <v>20</v>
      </c>
      <c r="J73" s="193">
        <f t="shared" si="8"/>
        <v>20</v>
      </c>
      <c r="K73" s="545"/>
      <c r="L73" s="557"/>
      <c r="M73" s="557"/>
      <c r="N73" s="557"/>
      <c r="O73" s="557"/>
      <c r="P73" s="557"/>
      <c r="Q73" s="487"/>
    </row>
    <row r="74" spans="1:17" ht="10.5" customHeight="1">
      <c r="A74" s="457"/>
      <c r="B74" s="460"/>
      <c r="C74" s="463"/>
      <c r="D74" s="210" t="s">
        <v>6</v>
      </c>
      <c r="E74" s="193">
        <f aca="true" t="shared" si="9" ref="E74:J74">E80</f>
        <v>269</v>
      </c>
      <c r="F74" s="193">
        <f t="shared" si="9"/>
        <v>269</v>
      </c>
      <c r="G74" s="193">
        <f t="shared" si="9"/>
        <v>0</v>
      </c>
      <c r="H74" s="193">
        <f t="shared" si="9"/>
        <v>0</v>
      </c>
      <c r="I74" s="193">
        <f t="shared" si="9"/>
        <v>0</v>
      </c>
      <c r="J74" s="193">
        <f t="shared" si="9"/>
        <v>0</v>
      </c>
      <c r="K74" s="545"/>
      <c r="L74" s="557"/>
      <c r="M74" s="557"/>
      <c r="N74" s="557"/>
      <c r="O74" s="557"/>
      <c r="P74" s="557"/>
      <c r="Q74" s="487"/>
    </row>
    <row r="75" spans="1:17" ht="24" customHeight="1">
      <c r="A75" s="455" t="s">
        <v>91</v>
      </c>
      <c r="B75" s="458" t="s">
        <v>86</v>
      </c>
      <c r="C75" s="461" t="s">
        <v>161</v>
      </c>
      <c r="D75" s="196" t="s">
        <v>207</v>
      </c>
      <c r="E75" s="194">
        <f aca="true" t="shared" si="10" ref="E75:J75">E76</f>
        <v>158.8</v>
      </c>
      <c r="F75" s="194">
        <f t="shared" si="10"/>
        <v>78.8</v>
      </c>
      <c r="G75" s="194">
        <f t="shared" si="10"/>
        <v>20</v>
      </c>
      <c r="H75" s="194">
        <f t="shared" si="10"/>
        <v>20</v>
      </c>
      <c r="I75" s="194">
        <f t="shared" si="10"/>
        <v>20</v>
      </c>
      <c r="J75" s="194">
        <f t="shared" si="10"/>
        <v>20</v>
      </c>
      <c r="K75" s="513" t="s">
        <v>261</v>
      </c>
      <c r="L75" s="509" t="s">
        <v>236</v>
      </c>
      <c r="M75" s="509" t="s">
        <v>236</v>
      </c>
      <c r="N75" s="509" t="s">
        <v>236</v>
      </c>
      <c r="O75" s="509" t="s">
        <v>236</v>
      </c>
      <c r="P75" s="509" t="s">
        <v>236</v>
      </c>
      <c r="Q75" s="455" t="s">
        <v>142</v>
      </c>
    </row>
    <row r="76" spans="1:17" ht="13.5" customHeight="1">
      <c r="A76" s="456"/>
      <c r="B76" s="459"/>
      <c r="C76" s="477"/>
      <c r="D76" s="451" t="s">
        <v>5</v>
      </c>
      <c r="E76" s="560">
        <f>SUM(F76:J77)</f>
        <v>158.8</v>
      </c>
      <c r="F76" s="558">
        <f>118.8-40</f>
        <v>78.8</v>
      </c>
      <c r="G76" s="558">
        <v>20</v>
      </c>
      <c r="H76" s="558">
        <v>20</v>
      </c>
      <c r="I76" s="558">
        <v>20</v>
      </c>
      <c r="J76" s="558">
        <v>20</v>
      </c>
      <c r="K76" s="545"/>
      <c r="L76" s="557"/>
      <c r="M76" s="557"/>
      <c r="N76" s="557"/>
      <c r="O76" s="557"/>
      <c r="P76" s="557"/>
      <c r="Q76" s="475"/>
    </row>
    <row r="77" spans="1:17" ht="11.25" customHeight="1" thickBot="1">
      <c r="A77" s="457"/>
      <c r="B77" s="460"/>
      <c r="C77" s="477"/>
      <c r="D77" s="468"/>
      <c r="E77" s="561"/>
      <c r="F77" s="559"/>
      <c r="G77" s="559"/>
      <c r="H77" s="559"/>
      <c r="I77" s="559"/>
      <c r="J77" s="559"/>
      <c r="K77" s="545"/>
      <c r="L77" s="557"/>
      <c r="M77" s="557"/>
      <c r="N77" s="557"/>
      <c r="O77" s="557"/>
      <c r="P77" s="557"/>
      <c r="Q77" s="529"/>
    </row>
    <row r="78" spans="1:17" ht="24" customHeight="1">
      <c r="A78" s="455" t="s">
        <v>141</v>
      </c>
      <c r="B78" s="458" t="s">
        <v>139</v>
      </c>
      <c r="C78" s="426" t="s">
        <v>260</v>
      </c>
      <c r="D78" s="173" t="s">
        <v>207</v>
      </c>
      <c r="E78" s="194">
        <f aca="true" t="shared" si="11" ref="E78:J78">E80+E79</f>
        <v>722</v>
      </c>
      <c r="F78" s="194">
        <f t="shared" si="11"/>
        <v>722</v>
      </c>
      <c r="G78" s="194">
        <f t="shared" si="11"/>
        <v>0</v>
      </c>
      <c r="H78" s="194">
        <f t="shared" si="11"/>
        <v>0</v>
      </c>
      <c r="I78" s="194">
        <f t="shared" si="11"/>
        <v>0</v>
      </c>
      <c r="J78" s="194">
        <f t="shared" si="11"/>
        <v>0</v>
      </c>
      <c r="K78" s="513" t="s">
        <v>261</v>
      </c>
      <c r="L78" s="509" t="s">
        <v>236</v>
      </c>
      <c r="M78" s="509" t="s">
        <v>213</v>
      </c>
      <c r="N78" s="509" t="s">
        <v>213</v>
      </c>
      <c r="O78" s="509" t="s">
        <v>213</v>
      </c>
      <c r="P78" s="509" t="s">
        <v>213</v>
      </c>
      <c r="Q78" s="455" t="s">
        <v>142</v>
      </c>
    </row>
    <row r="79" spans="1:17" ht="16.5" customHeight="1">
      <c r="A79" s="456"/>
      <c r="B79" s="459"/>
      <c r="C79" s="553"/>
      <c r="D79" s="225" t="s">
        <v>5</v>
      </c>
      <c r="E79" s="116">
        <f>SUM(F79:J79)</f>
        <v>453</v>
      </c>
      <c r="F79" s="233">
        <v>453</v>
      </c>
      <c r="G79" s="233">
        <v>0</v>
      </c>
      <c r="H79" s="233">
        <v>0</v>
      </c>
      <c r="I79" s="221">
        <v>0</v>
      </c>
      <c r="J79" s="221">
        <v>0</v>
      </c>
      <c r="K79" s="545"/>
      <c r="L79" s="557"/>
      <c r="M79" s="557"/>
      <c r="N79" s="557"/>
      <c r="O79" s="557"/>
      <c r="P79" s="557"/>
      <c r="Q79" s="475"/>
    </row>
    <row r="80" spans="1:17" ht="16.5" customHeight="1" thickBot="1">
      <c r="A80" s="457"/>
      <c r="B80" s="460"/>
      <c r="C80" s="553"/>
      <c r="D80" s="205" t="s">
        <v>6</v>
      </c>
      <c r="E80" s="234">
        <f>SUM(F80:J80)</f>
        <v>269</v>
      </c>
      <c r="F80" s="221">
        <v>269</v>
      </c>
      <c r="G80" s="221">
        <v>0</v>
      </c>
      <c r="H80" s="221">
        <v>0</v>
      </c>
      <c r="I80" s="221">
        <v>0</v>
      </c>
      <c r="J80" s="221">
        <v>0</v>
      </c>
      <c r="K80" s="545"/>
      <c r="L80" s="557"/>
      <c r="M80" s="557"/>
      <c r="N80" s="557"/>
      <c r="O80" s="557"/>
      <c r="P80" s="557"/>
      <c r="Q80" s="529"/>
    </row>
    <row r="81" spans="1:17" ht="18" customHeight="1">
      <c r="A81" s="426"/>
      <c r="B81" s="434" t="s">
        <v>48</v>
      </c>
      <c r="C81" s="426"/>
      <c r="D81" s="758" t="s">
        <v>207</v>
      </c>
      <c r="E81" s="437">
        <f>SUM(F81:J82)</f>
        <v>3102.8</v>
      </c>
      <c r="F81" s="437">
        <f>SUM(F83:F84)</f>
        <v>1883.5</v>
      </c>
      <c r="G81" s="437">
        <f>SUM(G83:G84)</f>
        <v>739.3</v>
      </c>
      <c r="H81" s="437">
        <f>SUM(H83:H84)</f>
        <v>160</v>
      </c>
      <c r="I81" s="437">
        <f>SUM(I83:I84)</f>
        <v>160</v>
      </c>
      <c r="J81" s="437">
        <f>SUM(J83:J84)</f>
        <v>160</v>
      </c>
      <c r="K81" s="550"/>
      <c r="L81" s="545"/>
      <c r="M81" s="545"/>
      <c r="N81" s="545"/>
      <c r="O81" s="545"/>
      <c r="P81" s="545"/>
      <c r="Q81" s="545"/>
    </row>
    <row r="82" spans="1:17" ht="12.75" customHeight="1">
      <c r="A82" s="426"/>
      <c r="B82" s="434"/>
      <c r="C82" s="426"/>
      <c r="D82" s="759"/>
      <c r="E82" s="438"/>
      <c r="F82" s="438"/>
      <c r="G82" s="438"/>
      <c r="H82" s="438"/>
      <c r="I82" s="438"/>
      <c r="J82" s="438"/>
      <c r="K82" s="551"/>
      <c r="L82" s="545"/>
      <c r="M82" s="545"/>
      <c r="N82" s="545"/>
      <c r="O82" s="545"/>
      <c r="P82" s="545"/>
      <c r="Q82" s="545"/>
    </row>
    <row r="83" spans="1:17" ht="14.25" customHeight="1" thickBot="1">
      <c r="A83" s="426"/>
      <c r="B83" s="434"/>
      <c r="C83" s="426"/>
      <c r="D83" s="195" t="s">
        <v>5</v>
      </c>
      <c r="E83" s="72">
        <f>SUM(F83:J83)</f>
        <v>2514.5</v>
      </c>
      <c r="F83" s="72">
        <f>SUM(F76,F79,F53,F40,F42)</f>
        <v>1614.5</v>
      </c>
      <c r="G83" s="72">
        <f>SUM(G69,G56,G40,G42)</f>
        <v>420</v>
      </c>
      <c r="H83" s="72">
        <f>SUM(H69,H53,H40,H42)</f>
        <v>160</v>
      </c>
      <c r="I83" s="72">
        <f>SUM(I69,I53,I40,I42)</f>
        <v>160</v>
      </c>
      <c r="J83" s="73">
        <f>SUM(J69,J53,J40,J42)</f>
        <v>160</v>
      </c>
      <c r="K83" s="551"/>
      <c r="L83" s="545"/>
      <c r="M83" s="545"/>
      <c r="N83" s="545"/>
      <c r="O83" s="545"/>
      <c r="P83" s="545"/>
      <c r="Q83" s="545"/>
    </row>
    <row r="84" spans="1:17" ht="14.25" customHeight="1" thickBot="1">
      <c r="A84" s="553"/>
      <c r="B84" s="642"/>
      <c r="C84" s="553"/>
      <c r="D84" s="195" t="s">
        <v>6</v>
      </c>
      <c r="E84" s="73">
        <f aca="true" t="shared" si="12" ref="E84:J84">E80</f>
        <v>269</v>
      </c>
      <c r="F84" s="73">
        <f t="shared" si="12"/>
        <v>269</v>
      </c>
      <c r="G84" s="73">
        <f>G80+G67</f>
        <v>319.3</v>
      </c>
      <c r="H84" s="73">
        <f t="shared" si="12"/>
        <v>0</v>
      </c>
      <c r="I84" s="73">
        <f t="shared" si="12"/>
        <v>0</v>
      </c>
      <c r="J84" s="73">
        <f t="shared" si="12"/>
        <v>0</v>
      </c>
      <c r="K84" s="552"/>
      <c r="L84" s="521"/>
      <c r="M84" s="521"/>
      <c r="N84" s="521"/>
      <c r="O84" s="521"/>
      <c r="P84" s="521"/>
      <c r="Q84" s="521"/>
    </row>
    <row r="85" spans="1:17" ht="13.5" customHeight="1">
      <c r="A85" s="23" t="s">
        <v>38</v>
      </c>
      <c r="B85" s="546" t="s">
        <v>93</v>
      </c>
      <c r="C85" s="547"/>
      <c r="D85" s="548"/>
      <c r="E85" s="548"/>
      <c r="F85" s="548"/>
      <c r="G85" s="548"/>
      <c r="H85" s="548"/>
      <c r="I85" s="548"/>
      <c r="J85" s="548"/>
      <c r="K85" s="547"/>
      <c r="L85" s="547"/>
      <c r="M85" s="547"/>
      <c r="N85" s="547"/>
      <c r="O85" s="547"/>
      <c r="P85" s="547"/>
      <c r="Q85" s="549"/>
    </row>
    <row r="86" spans="1:17" ht="16.5" customHeight="1">
      <c r="A86" s="455" t="s">
        <v>39</v>
      </c>
      <c r="B86" s="458" t="s">
        <v>58</v>
      </c>
      <c r="C86" s="461" t="s">
        <v>161</v>
      </c>
      <c r="D86" s="478" t="s">
        <v>223</v>
      </c>
      <c r="E86" s="515">
        <f aca="true" t="shared" si="13" ref="E86:J86">SUM(E93:E95)</f>
        <v>360286.7</v>
      </c>
      <c r="F86" s="515">
        <f t="shared" si="13"/>
        <v>75088</v>
      </c>
      <c r="G86" s="515">
        <f t="shared" si="13"/>
        <v>71066.7</v>
      </c>
      <c r="H86" s="515">
        <f t="shared" si="13"/>
        <v>67622</v>
      </c>
      <c r="I86" s="515">
        <f t="shared" si="13"/>
        <v>73255</v>
      </c>
      <c r="J86" s="515">
        <f t="shared" si="13"/>
        <v>73255</v>
      </c>
      <c r="K86" s="513" t="s">
        <v>262</v>
      </c>
      <c r="L86" s="509" t="s">
        <v>236</v>
      </c>
      <c r="M86" s="509" t="s">
        <v>236</v>
      </c>
      <c r="N86" s="509" t="s">
        <v>236</v>
      </c>
      <c r="O86" s="509" t="s">
        <v>236</v>
      </c>
      <c r="P86" s="509" t="s">
        <v>236</v>
      </c>
      <c r="Q86" s="509" t="s">
        <v>99</v>
      </c>
    </row>
    <row r="87" spans="1:17" ht="13.5" customHeight="1">
      <c r="A87" s="475"/>
      <c r="B87" s="476"/>
      <c r="C87" s="477"/>
      <c r="D87" s="517"/>
      <c r="E87" s="516"/>
      <c r="F87" s="516"/>
      <c r="G87" s="516"/>
      <c r="H87" s="516"/>
      <c r="I87" s="516"/>
      <c r="J87" s="516"/>
      <c r="K87" s="513"/>
      <c r="L87" s="509"/>
      <c r="M87" s="509"/>
      <c r="N87" s="509"/>
      <c r="O87" s="509"/>
      <c r="P87" s="509"/>
      <c r="Q87" s="509"/>
    </row>
    <row r="88" spans="1:17" ht="9" customHeight="1" hidden="1">
      <c r="A88" s="475"/>
      <c r="B88" s="476"/>
      <c r="C88" s="477"/>
      <c r="D88" s="517"/>
      <c r="E88" s="516"/>
      <c r="F88" s="516"/>
      <c r="G88" s="516"/>
      <c r="H88" s="516"/>
      <c r="I88" s="516"/>
      <c r="J88" s="516"/>
      <c r="K88" s="513"/>
      <c r="L88" s="509"/>
      <c r="M88" s="509"/>
      <c r="N88" s="509"/>
      <c r="O88" s="509"/>
      <c r="P88" s="509"/>
      <c r="Q88" s="509"/>
    </row>
    <row r="89" spans="1:17" ht="16.5" customHeight="1">
      <c r="A89" s="475"/>
      <c r="B89" s="476"/>
      <c r="C89" s="477"/>
      <c r="D89" s="479"/>
      <c r="E89" s="523"/>
      <c r="F89" s="523"/>
      <c r="G89" s="523"/>
      <c r="H89" s="523"/>
      <c r="I89" s="523"/>
      <c r="J89" s="523"/>
      <c r="K89" s="513"/>
      <c r="L89" s="509"/>
      <c r="M89" s="509"/>
      <c r="N89" s="509"/>
      <c r="O89" s="509"/>
      <c r="P89" s="509"/>
      <c r="Q89" s="509"/>
    </row>
    <row r="90" spans="1:17" ht="16.5" customHeight="1">
      <c r="A90" s="456"/>
      <c r="B90" s="459"/>
      <c r="C90" s="462"/>
      <c r="D90" s="227" t="s">
        <v>5</v>
      </c>
      <c r="E90" s="212">
        <f aca="true" t="shared" si="14" ref="E90:J90">E92</f>
        <v>119459.80000000002</v>
      </c>
      <c r="F90" s="212">
        <f t="shared" si="14"/>
        <v>28491.4</v>
      </c>
      <c r="G90" s="212">
        <f t="shared" si="14"/>
        <v>22292.1</v>
      </c>
      <c r="H90" s="212">
        <f t="shared" si="14"/>
        <v>20892.1</v>
      </c>
      <c r="I90" s="212">
        <f t="shared" si="14"/>
        <v>23892.1</v>
      </c>
      <c r="J90" s="212">
        <f t="shared" si="14"/>
        <v>23892.1</v>
      </c>
      <c r="K90" s="521"/>
      <c r="L90" s="510"/>
      <c r="M90" s="510"/>
      <c r="N90" s="510"/>
      <c r="O90" s="510"/>
      <c r="P90" s="510"/>
      <c r="Q90" s="510"/>
    </row>
    <row r="91" spans="1:17" ht="16.5" customHeight="1">
      <c r="A91" s="457"/>
      <c r="B91" s="460"/>
      <c r="C91" s="463"/>
      <c r="D91" s="227" t="s">
        <v>6</v>
      </c>
      <c r="E91" s="212">
        <f aca="true" t="shared" si="15" ref="E91:J91">E94</f>
        <v>240826.9</v>
      </c>
      <c r="F91" s="212">
        <f t="shared" si="15"/>
        <v>46596.6</v>
      </c>
      <c r="G91" s="212">
        <f t="shared" si="15"/>
        <v>48774.6</v>
      </c>
      <c r="H91" s="212">
        <f t="shared" si="15"/>
        <v>46729.9</v>
      </c>
      <c r="I91" s="212">
        <f t="shared" si="15"/>
        <v>49362.9</v>
      </c>
      <c r="J91" s="212">
        <f t="shared" si="15"/>
        <v>49362.9</v>
      </c>
      <c r="K91" s="521"/>
      <c r="L91" s="510"/>
      <c r="M91" s="510"/>
      <c r="N91" s="510"/>
      <c r="O91" s="510"/>
      <c r="P91" s="510"/>
      <c r="Q91" s="510"/>
    </row>
    <row r="92" spans="1:17" ht="26.25" customHeight="1">
      <c r="A92" s="455" t="s">
        <v>94</v>
      </c>
      <c r="B92" s="455" t="s">
        <v>109</v>
      </c>
      <c r="C92" s="461" t="s">
        <v>161</v>
      </c>
      <c r="D92" s="196" t="s">
        <v>207</v>
      </c>
      <c r="E92" s="204">
        <f aca="true" t="shared" si="16" ref="E92:J92">E93</f>
        <v>119459.80000000002</v>
      </c>
      <c r="F92" s="204">
        <f t="shared" si="16"/>
        <v>28491.4</v>
      </c>
      <c r="G92" s="204">
        <f t="shared" si="16"/>
        <v>22292.1</v>
      </c>
      <c r="H92" s="204">
        <f t="shared" si="16"/>
        <v>20892.1</v>
      </c>
      <c r="I92" s="204">
        <f t="shared" si="16"/>
        <v>23892.1</v>
      </c>
      <c r="J92" s="204">
        <f t="shared" si="16"/>
        <v>23892.1</v>
      </c>
      <c r="K92" s="513" t="s">
        <v>263</v>
      </c>
      <c r="L92" s="509" t="s">
        <v>236</v>
      </c>
      <c r="M92" s="509" t="s">
        <v>236</v>
      </c>
      <c r="N92" s="509" t="s">
        <v>236</v>
      </c>
      <c r="O92" s="509" t="s">
        <v>236</v>
      </c>
      <c r="P92" s="509" t="s">
        <v>236</v>
      </c>
      <c r="Q92" s="449" t="s">
        <v>99</v>
      </c>
    </row>
    <row r="93" spans="1:17" ht="20.25" customHeight="1">
      <c r="A93" s="457"/>
      <c r="B93" s="528"/>
      <c r="C93" s="463"/>
      <c r="D93" s="210" t="s">
        <v>5</v>
      </c>
      <c r="E93" s="213">
        <f>SUM(F93:J93)</f>
        <v>119459.80000000002</v>
      </c>
      <c r="F93" s="207">
        <v>28491.4</v>
      </c>
      <c r="G93" s="207">
        <f>23892.1-1000-600</f>
        <v>22292.1</v>
      </c>
      <c r="H93" s="201">
        <v>20892.1</v>
      </c>
      <c r="I93" s="201">
        <v>23892.1</v>
      </c>
      <c r="J93" s="201">
        <v>23892.1</v>
      </c>
      <c r="K93" s="521"/>
      <c r="L93" s="510"/>
      <c r="M93" s="510"/>
      <c r="N93" s="510"/>
      <c r="O93" s="510"/>
      <c r="P93" s="510"/>
      <c r="Q93" s="448"/>
    </row>
    <row r="94" spans="1:17" ht="25.5" customHeight="1">
      <c r="A94" s="455" t="s">
        <v>95</v>
      </c>
      <c r="B94" s="455" t="s">
        <v>100</v>
      </c>
      <c r="C94" s="461" t="s">
        <v>161</v>
      </c>
      <c r="D94" s="478" t="s">
        <v>220</v>
      </c>
      <c r="E94" s="515">
        <f>F94+G94+H94+I94+J94</f>
        <v>240826.9</v>
      </c>
      <c r="F94" s="515">
        <f>F98+F103+F106+F109+F111</f>
        <v>46596.6</v>
      </c>
      <c r="G94" s="515">
        <f>G98+G103+G106+G109+G111</f>
        <v>48774.6</v>
      </c>
      <c r="H94" s="515">
        <f>H98+H103+H106+H109+H111</f>
        <v>46729.9</v>
      </c>
      <c r="I94" s="515">
        <f>I98+I103+I106+I109+I111</f>
        <v>49362.9</v>
      </c>
      <c r="J94" s="515">
        <f>J98+J103+J106+J109+J111</f>
        <v>49362.9</v>
      </c>
      <c r="K94" s="544" t="s">
        <v>263</v>
      </c>
      <c r="L94" s="480">
        <v>100</v>
      </c>
      <c r="M94" s="480">
        <v>100</v>
      </c>
      <c r="N94" s="480">
        <v>100</v>
      </c>
      <c r="O94" s="480">
        <v>100</v>
      </c>
      <c r="P94" s="480">
        <v>100</v>
      </c>
      <c r="Q94" s="449" t="s">
        <v>99</v>
      </c>
    </row>
    <row r="95" spans="1:17" ht="6" customHeight="1">
      <c r="A95" s="475"/>
      <c r="B95" s="475"/>
      <c r="C95" s="477"/>
      <c r="D95" s="479"/>
      <c r="E95" s="448"/>
      <c r="F95" s="448"/>
      <c r="G95" s="448"/>
      <c r="H95" s="448"/>
      <c r="I95" s="448"/>
      <c r="J95" s="448"/>
      <c r="K95" s="470"/>
      <c r="L95" s="543"/>
      <c r="M95" s="543"/>
      <c r="N95" s="543"/>
      <c r="O95" s="543"/>
      <c r="P95" s="543"/>
      <c r="Q95" s="450"/>
    </row>
    <row r="96" spans="1:17" ht="15.75" customHeight="1">
      <c r="A96" s="457"/>
      <c r="B96" s="457"/>
      <c r="C96" s="463"/>
      <c r="D96" s="220" t="s">
        <v>6</v>
      </c>
      <c r="E96" s="214">
        <f aca="true" t="shared" si="17" ref="E96:J96">E94</f>
        <v>240826.9</v>
      </c>
      <c r="F96" s="214">
        <f t="shared" si="17"/>
        <v>46596.6</v>
      </c>
      <c r="G96" s="214">
        <f t="shared" si="17"/>
        <v>48774.6</v>
      </c>
      <c r="H96" s="214">
        <f t="shared" si="17"/>
        <v>46729.9</v>
      </c>
      <c r="I96" s="214">
        <f t="shared" si="17"/>
        <v>49362.9</v>
      </c>
      <c r="J96" s="214">
        <f t="shared" si="17"/>
        <v>49362.9</v>
      </c>
      <c r="K96" s="465"/>
      <c r="L96" s="448"/>
      <c r="M96" s="448"/>
      <c r="N96" s="448"/>
      <c r="O96" s="448"/>
      <c r="P96" s="448"/>
      <c r="Q96" s="448"/>
    </row>
    <row r="97" spans="1:17" ht="24.75" customHeight="1">
      <c r="A97" s="455" t="s">
        <v>101</v>
      </c>
      <c r="B97" s="458" t="s">
        <v>103</v>
      </c>
      <c r="C97" s="461" t="s">
        <v>161</v>
      </c>
      <c r="D97" s="172" t="s">
        <v>207</v>
      </c>
      <c r="E97" s="229">
        <f aca="true" t="shared" si="18" ref="E97:J97">E98</f>
        <v>10274</v>
      </c>
      <c r="F97" s="229">
        <f t="shared" si="18"/>
        <v>1840</v>
      </c>
      <c r="G97" s="229">
        <f t="shared" si="18"/>
        <v>1934</v>
      </c>
      <c r="H97" s="229">
        <f t="shared" si="18"/>
        <v>2100</v>
      </c>
      <c r="I97" s="229">
        <f t="shared" si="18"/>
        <v>2200</v>
      </c>
      <c r="J97" s="229">
        <f t="shared" si="18"/>
        <v>2200</v>
      </c>
      <c r="K97" s="464" t="s">
        <v>264</v>
      </c>
      <c r="L97" s="449" t="s">
        <v>236</v>
      </c>
      <c r="M97" s="449" t="s">
        <v>236</v>
      </c>
      <c r="N97" s="449" t="s">
        <v>236</v>
      </c>
      <c r="O97" s="449" t="s">
        <v>236</v>
      </c>
      <c r="P97" s="449" t="s">
        <v>236</v>
      </c>
      <c r="Q97" s="449" t="s">
        <v>99</v>
      </c>
    </row>
    <row r="98" spans="1:17" ht="19.5" customHeight="1">
      <c r="A98" s="456"/>
      <c r="B98" s="527"/>
      <c r="C98" s="541"/>
      <c r="D98" s="451" t="s">
        <v>6</v>
      </c>
      <c r="E98" s="453">
        <f>SUM(F98:J99)</f>
        <v>10274</v>
      </c>
      <c r="F98" s="453">
        <v>1840</v>
      </c>
      <c r="G98" s="453">
        <v>1934</v>
      </c>
      <c r="H98" s="453">
        <v>2100</v>
      </c>
      <c r="I98" s="453">
        <v>2200</v>
      </c>
      <c r="J98" s="453">
        <v>2200</v>
      </c>
      <c r="K98" s="470"/>
      <c r="L98" s="471"/>
      <c r="M98" s="471"/>
      <c r="N98" s="471"/>
      <c r="O98" s="471"/>
      <c r="P98" s="471"/>
      <c r="Q98" s="450"/>
    </row>
    <row r="99" spans="1:17" ht="26.25" customHeight="1">
      <c r="A99" s="456"/>
      <c r="B99" s="527"/>
      <c r="C99" s="541"/>
      <c r="D99" s="452"/>
      <c r="E99" s="454"/>
      <c r="F99" s="454"/>
      <c r="G99" s="454"/>
      <c r="H99" s="454"/>
      <c r="I99" s="454"/>
      <c r="J99" s="454"/>
      <c r="K99" s="470"/>
      <c r="L99" s="471"/>
      <c r="M99" s="471"/>
      <c r="N99" s="471"/>
      <c r="O99" s="471"/>
      <c r="P99" s="471"/>
      <c r="Q99" s="450"/>
    </row>
    <row r="100" spans="1:17" ht="6" customHeight="1">
      <c r="A100" s="456"/>
      <c r="B100" s="527"/>
      <c r="C100" s="541"/>
      <c r="D100" s="505"/>
      <c r="E100" s="450"/>
      <c r="F100" s="505"/>
      <c r="G100" s="505"/>
      <c r="H100" s="505"/>
      <c r="I100" s="450"/>
      <c r="J100" s="450"/>
      <c r="K100" s="470"/>
      <c r="L100" s="471"/>
      <c r="M100" s="471"/>
      <c r="N100" s="471"/>
      <c r="O100" s="471"/>
      <c r="P100" s="471"/>
      <c r="Q100" s="450"/>
    </row>
    <row r="101" spans="1:17" ht="9" customHeight="1">
      <c r="A101" s="457"/>
      <c r="B101" s="528"/>
      <c r="C101" s="542"/>
      <c r="D101" s="531"/>
      <c r="E101" s="448"/>
      <c r="F101" s="531"/>
      <c r="G101" s="531"/>
      <c r="H101" s="531"/>
      <c r="I101" s="448"/>
      <c r="J101" s="448"/>
      <c r="K101" s="465"/>
      <c r="L101" s="472"/>
      <c r="M101" s="472"/>
      <c r="N101" s="472"/>
      <c r="O101" s="472"/>
      <c r="P101" s="472"/>
      <c r="Q101" s="448"/>
    </row>
    <row r="102" spans="1:17" ht="26.25" customHeight="1">
      <c r="A102" s="455" t="s">
        <v>102</v>
      </c>
      <c r="B102" s="458" t="s">
        <v>61</v>
      </c>
      <c r="C102" s="461" t="s">
        <v>161</v>
      </c>
      <c r="D102" s="172" t="s">
        <v>207</v>
      </c>
      <c r="E102" s="203">
        <f aca="true" t="shared" si="19" ref="E102:J102">E103</f>
        <v>549.8</v>
      </c>
      <c r="F102" s="203">
        <f t="shared" si="19"/>
        <v>549.8</v>
      </c>
      <c r="G102" s="203">
        <f t="shared" si="19"/>
        <v>0</v>
      </c>
      <c r="H102" s="203">
        <f t="shared" si="19"/>
        <v>0</v>
      </c>
      <c r="I102" s="203">
        <f t="shared" si="19"/>
        <v>0</v>
      </c>
      <c r="J102" s="203">
        <f t="shared" si="19"/>
        <v>0</v>
      </c>
      <c r="K102" s="464" t="s">
        <v>263</v>
      </c>
      <c r="L102" s="449" t="s">
        <v>236</v>
      </c>
      <c r="M102" s="449" t="s">
        <v>213</v>
      </c>
      <c r="N102" s="449" t="s">
        <v>213</v>
      </c>
      <c r="O102" s="449" t="s">
        <v>213</v>
      </c>
      <c r="P102" s="449" t="s">
        <v>213</v>
      </c>
      <c r="Q102" s="219"/>
    </row>
    <row r="103" spans="1:17" ht="62.25" customHeight="1">
      <c r="A103" s="456"/>
      <c r="B103" s="527"/>
      <c r="C103" s="462"/>
      <c r="D103" s="205" t="s">
        <v>6</v>
      </c>
      <c r="E103" s="211">
        <f aca="true" t="shared" si="20" ref="E103:E112">SUM(F103:J103)</f>
        <v>549.8</v>
      </c>
      <c r="F103" s="211">
        <f>449.8+100</f>
        <v>549.8</v>
      </c>
      <c r="G103" s="211">
        <v>0</v>
      </c>
      <c r="H103" s="211">
        <v>0</v>
      </c>
      <c r="I103" s="211">
        <v>0</v>
      </c>
      <c r="J103" s="211">
        <v>0</v>
      </c>
      <c r="K103" s="470"/>
      <c r="L103" s="471"/>
      <c r="M103" s="471"/>
      <c r="N103" s="471"/>
      <c r="O103" s="471"/>
      <c r="P103" s="471"/>
      <c r="Q103" s="218" t="s">
        <v>206</v>
      </c>
    </row>
    <row r="104" spans="1:17" ht="51" customHeight="1" hidden="1">
      <c r="A104" s="457"/>
      <c r="B104" s="528"/>
      <c r="C104" s="463"/>
      <c r="D104" s="205" t="s">
        <v>6</v>
      </c>
      <c r="E104" s="211">
        <v>0</v>
      </c>
      <c r="F104" s="211">
        <v>0</v>
      </c>
      <c r="G104" s="211">
        <v>0</v>
      </c>
      <c r="H104" s="211">
        <v>0</v>
      </c>
      <c r="I104" s="211">
        <v>0</v>
      </c>
      <c r="J104" s="211">
        <v>0</v>
      </c>
      <c r="K104" s="465"/>
      <c r="L104" s="472"/>
      <c r="M104" s="472"/>
      <c r="N104" s="472"/>
      <c r="O104" s="472"/>
      <c r="P104" s="472"/>
      <c r="Q104" s="218"/>
    </row>
    <row r="105" spans="1:17" ht="28.5" customHeight="1">
      <c r="A105" s="530" t="s">
        <v>104</v>
      </c>
      <c r="B105" s="530" t="s">
        <v>66</v>
      </c>
      <c r="C105" s="461" t="s">
        <v>161</v>
      </c>
      <c r="D105" s="172" t="s">
        <v>207</v>
      </c>
      <c r="E105" s="202">
        <f aca="true" t="shared" si="21" ref="E105:J105">E106</f>
        <v>223.9</v>
      </c>
      <c r="F105" s="202">
        <f t="shared" si="21"/>
        <v>45.9</v>
      </c>
      <c r="G105" s="202">
        <f t="shared" si="21"/>
        <v>44.5</v>
      </c>
      <c r="H105" s="202">
        <f t="shared" si="21"/>
        <v>44.5</v>
      </c>
      <c r="I105" s="202">
        <f t="shared" si="21"/>
        <v>44.5</v>
      </c>
      <c r="J105" s="202">
        <f t="shared" si="21"/>
        <v>44.5</v>
      </c>
      <c r="K105" s="464" t="s">
        <v>263</v>
      </c>
      <c r="L105" s="449" t="s">
        <v>236</v>
      </c>
      <c r="M105" s="449" t="s">
        <v>236</v>
      </c>
      <c r="N105" s="449" t="s">
        <v>236</v>
      </c>
      <c r="O105" s="449" t="s">
        <v>236</v>
      </c>
      <c r="P105" s="449" t="s">
        <v>236</v>
      </c>
      <c r="Q105" s="218"/>
    </row>
    <row r="106" spans="1:17" ht="26.25" customHeight="1">
      <c r="A106" s="528"/>
      <c r="B106" s="528"/>
      <c r="C106" s="462"/>
      <c r="D106" s="210" t="s">
        <v>6</v>
      </c>
      <c r="E106" s="213">
        <f t="shared" si="20"/>
        <v>223.9</v>
      </c>
      <c r="F106" s="213">
        <v>45.9</v>
      </c>
      <c r="G106" s="213">
        <v>44.5</v>
      </c>
      <c r="H106" s="213">
        <v>44.5</v>
      </c>
      <c r="I106" s="213">
        <v>44.5</v>
      </c>
      <c r="J106" s="213">
        <v>44.5</v>
      </c>
      <c r="K106" s="465"/>
      <c r="L106" s="448"/>
      <c r="M106" s="448"/>
      <c r="N106" s="448"/>
      <c r="O106" s="448"/>
      <c r="P106" s="448"/>
      <c r="Q106" s="228" t="s">
        <v>205</v>
      </c>
    </row>
    <row r="107" spans="1:17" ht="36.75" customHeight="1" hidden="1">
      <c r="A107" s="128"/>
      <c r="B107" s="127"/>
      <c r="C107" s="463"/>
      <c r="D107" s="210" t="s">
        <v>6</v>
      </c>
      <c r="E107" s="213">
        <f t="shared" si="20"/>
        <v>0</v>
      </c>
      <c r="F107" s="213">
        <v>0</v>
      </c>
      <c r="G107" s="213">
        <v>0</v>
      </c>
      <c r="H107" s="213">
        <v>0</v>
      </c>
      <c r="I107" s="213">
        <v>0</v>
      </c>
      <c r="J107" s="213">
        <v>0</v>
      </c>
      <c r="K107" s="105"/>
      <c r="L107" s="106"/>
      <c r="M107" s="106"/>
      <c r="N107" s="106"/>
      <c r="O107" s="106"/>
      <c r="P107" s="106"/>
      <c r="Q107" s="228"/>
    </row>
    <row r="108" spans="1:17" ht="22.5" customHeight="1">
      <c r="A108" s="455" t="s">
        <v>105</v>
      </c>
      <c r="B108" s="458" t="s">
        <v>62</v>
      </c>
      <c r="C108" s="461" t="s">
        <v>161</v>
      </c>
      <c r="D108" s="172" t="s">
        <v>207</v>
      </c>
      <c r="E108" s="204">
        <f aca="true" t="shared" si="22" ref="E108:J108">E109</f>
        <v>220821</v>
      </c>
      <c r="F108" s="204">
        <f t="shared" si="22"/>
        <v>42323.1</v>
      </c>
      <c r="G108" s="204">
        <f t="shared" si="22"/>
        <v>45016</v>
      </c>
      <c r="H108" s="204">
        <f t="shared" si="22"/>
        <v>42805.3</v>
      </c>
      <c r="I108" s="204">
        <f t="shared" si="22"/>
        <v>45338.3</v>
      </c>
      <c r="J108" s="204">
        <f t="shared" si="22"/>
        <v>45338.3</v>
      </c>
      <c r="K108" s="464" t="s">
        <v>263</v>
      </c>
      <c r="L108" s="449" t="s">
        <v>236</v>
      </c>
      <c r="M108" s="449" t="s">
        <v>236</v>
      </c>
      <c r="N108" s="449" t="s">
        <v>236</v>
      </c>
      <c r="O108" s="449" t="s">
        <v>236</v>
      </c>
      <c r="P108" s="449" t="s">
        <v>236</v>
      </c>
      <c r="Q108" s="228"/>
    </row>
    <row r="109" spans="1:17" ht="16.5" customHeight="1">
      <c r="A109" s="528"/>
      <c r="B109" s="528"/>
      <c r="C109" s="463"/>
      <c r="D109" s="210" t="s">
        <v>6</v>
      </c>
      <c r="E109" s="212">
        <f t="shared" si="20"/>
        <v>220821</v>
      </c>
      <c r="F109" s="212">
        <v>42323.1</v>
      </c>
      <c r="G109" s="212">
        <v>45016</v>
      </c>
      <c r="H109" s="212">
        <v>42805.3</v>
      </c>
      <c r="I109" s="212">
        <v>45338.3</v>
      </c>
      <c r="J109" s="212">
        <v>45338.3</v>
      </c>
      <c r="K109" s="465"/>
      <c r="L109" s="472"/>
      <c r="M109" s="472"/>
      <c r="N109" s="472"/>
      <c r="O109" s="472"/>
      <c r="P109" s="472"/>
      <c r="Q109" s="228" t="s">
        <v>99</v>
      </c>
    </row>
    <row r="110" spans="1:17" ht="26.25" customHeight="1">
      <c r="A110" s="455" t="s">
        <v>106</v>
      </c>
      <c r="B110" s="458" t="s">
        <v>65</v>
      </c>
      <c r="C110" s="461" t="s">
        <v>42</v>
      </c>
      <c r="D110" s="172" t="s">
        <v>207</v>
      </c>
      <c r="E110" s="204">
        <f aca="true" t="shared" si="23" ref="E110:J110">E111</f>
        <v>8958.2</v>
      </c>
      <c r="F110" s="204">
        <f t="shared" si="23"/>
        <v>1837.8</v>
      </c>
      <c r="G110" s="204">
        <f t="shared" si="23"/>
        <v>1780.1</v>
      </c>
      <c r="H110" s="204">
        <f t="shared" si="23"/>
        <v>1780.1</v>
      </c>
      <c r="I110" s="204">
        <f t="shared" si="23"/>
        <v>1780.1</v>
      </c>
      <c r="J110" s="204">
        <f t="shared" si="23"/>
        <v>1780.1</v>
      </c>
      <c r="K110" s="464" t="s">
        <v>263</v>
      </c>
      <c r="L110" s="449" t="s">
        <v>236</v>
      </c>
      <c r="M110" s="449" t="s">
        <v>236</v>
      </c>
      <c r="N110" s="449" t="s">
        <v>236</v>
      </c>
      <c r="O110" s="449" t="s">
        <v>236</v>
      </c>
      <c r="P110" s="449" t="s">
        <v>236</v>
      </c>
      <c r="Q110" s="228"/>
    </row>
    <row r="111" spans="1:17" ht="44.25" customHeight="1">
      <c r="A111" s="527"/>
      <c r="B111" s="527"/>
      <c r="C111" s="462"/>
      <c r="D111" s="210" t="s">
        <v>6</v>
      </c>
      <c r="E111" s="213">
        <f t="shared" si="20"/>
        <v>8958.2</v>
      </c>
      <c r="F111" s="213">
        <v>1837.8</v>
      </c>
      <c r="G111" s="213">
        <v>1780.1</v>
      </c>
      <c r="H111" s="213">
        <v>1780.1</v>
      </c>
      <c r="I111" s="213">
        <v>1780.1</v>
      </c>
      <c r="J111" s="213">
        <v>1780.1</v>
      </c>
      <c r="K111" s="470"/>
      <c r="L111" s="466"/>
      <c r="M111" s="466"/>
      <c r="N111" s="466"/>
      <c r="O111" s="466"/>
      <c r="P111" s="466"/>
      <c r="Q111" s="228" t="s">
        <v>160</v>
      </c>
    </row>
    <row r="112" spans="1:17" ht="34.5" customHeight="1" hidden="1">
      <c r="A112" s="528"/>
      <c r="B112" s="528"/>
      <c r="C112" s="463"/>
      <c r="D112" s="117" t="s">
        <v>6</v>
      </c>
      <c r="E112" s="118">
        <f t="shared" si="20"/>
        <v>0</v>
      </c>
      <c r="F112" s="118">
        <v>0</v>
      </c>
      <c r="G112" s="118">
        <v>0</v>
      </c>
      <c r="H112" s="118">
        <v>0</v>
      </c>
      <c r="I112" s="118">
        <v>0</v>
      </c>
      <c r="J112" s="118">
        <v>0</v>
      </c>
      <c r="K112" s="465"/>
      <c r="L112" s="467"/>
      <c r="M112" s="467"/>
      <c r="N112" s="467"/>
      <c r="O112" s="467"/>
      <c r="P112" s="467"/>
      <c r="Q112" s="228"/>
    </row>
    <row r="113" spans="1:17" ht="30" customHeight="1">
      <c r="A113" s="455" t="s">
        <v>107</v>
      </c>
      <c r="B113" s="458" t="s">
        <v>59</v>
      </c>
      <c r="C113" s="461" t="s">
        <v>161</v>
      </c>
      <c r="D113" s="524" t="s">
        <v>216</v>
      </c>
      <c r="E113" s="515">
        <f aca="true" t="shared" si="24" ref="E113:J113">SUM(E120:E122)</f>
        <v>356639.5</v>
      </c>
      <c r="F113" s="515">
        <f t="shared" si="24"/>
        <v>70964.8</v>
      </c>
      <c r="G113" s="515">
        <f t="shared" si="24"/>
        <v>65711.8</v>
      </c>
      <c r="H113" s="515">
        <f t="shared" si="24"/>
        <v>69306.1</v>
      </c>
      <c r="I113" s="515">
        <f t="shared" si="24"/>
        <v>75328.4</v>
      </c>
      <c r="J113" s="515">
        <f t="shared" si="24"/>
        <v>75328.4</v>
      </c>
      <c r="K113" s="464" t="s">
        <v>50</v>
      </c>
      <c r="L113" s="449" t="s">
        <v>266</v>
      </c>
      <c r="M113" s="449" t="s">
        <v>266</v>
      </c>
      <c r="N113" s="449" t="s">
        <v>266</v>
      </c>
      <c r="O113" s="449" t="s">
        <v>266</v>
      </c>
      <c r="P113" s="449" t="s">
        <v>266</v>
      </c>
      <c r="Q113" s="455" t="s">
        <v>51</v>
      </c>
    </row>
    <row r="114" spans="1:17" ht="5.25" customHeight="1">
      <c r="A114" s="475"/>
      <c r="B114" s="476"/>
      <c r="C114" s="477"/>
      <c r="D114" s="525"/>
      <c r="E114" s="516"/>
      <c r="F114" s="516"/>
      <c r="G114" s="516"/>
      <c r="H114" s="516"/>
      <c r="I114" s="516"/>
      <c r="J114" s="516"/>
      <c r="K114" s="474"/>
      <c r="L114" s="471"/>
      <c r="M114" s="471"/>
      <c r="N114" s="471"/>
      <c r="O114" s="471"/>
      <c r="P114" s="471"/>
      <c r="Q114" s="475"/>
    </row>
    <row r="115" spans="1:17" ht="15" customHeight="1">
      <c r="A115" s="475"/>
      <c r="B115" s="476"/>
      <c r="C115" s="477"/>
      <c r="D115" s="525"/>
      <c r="E115" s="516"/>
      <c r="F115" s="516"/>
      <c r="G115" s="516"/>
      <c r="H115" s="516"/>
      <c r="I115" s="516"/>
      <c r="J115" s="516"/>
      <c r="K115" s="474"/>
      <c r="L115" s="471"/>
      <c r="M115" s="471"/>
      <c r="N115" s="471"/>
      <c r="O115" s="471"/>
      <c r="P115" s="471"/>
      <c r="Q115" s="475"/>
    </row>
    <row r="116" spans="1:17" ht="4.5" customHeight="1">
      <c r="A116" s="475"/>
      <c r="B116" s="476"/>
      <c r="C116" s="477"/>
      <c r="D116" s="526"/>
      <c r="E116" s="523"/>
      <c r="F116" s="523"/>
      <c r="G116" s="523"/>
      <c r="H116" s="523"/>
      <c r="I116" s="523"/>
      <c r="J116" s="523"/>
      <c r="K116" s="474"/>
      <c r="L116" s="471"/>
      <c r="M116" s="471"/>
      <c r="N116" s="471"/>
      <c r="O116" s="471"/>
      <c r="P116" s="471"/>
      <c r="Q116" s="475"/>
    </row>
    <row r="117" spans="1:17" ht="15" customHeight="1">
      <c r="A117" s="456"/>
      <c r="B117" s="459"/>
      <c r="C117" s="462"/>
      <c r="D117" s="210" t="s">
        <v>5</v>
      </c>
      <c r="E117" s="213">
        <f aca="true" t="shared" si="25" ref="E117:J117">E119</f>
        <v>44544.2</v>
      </c>
      <c r="F117" s="213">
        <f t="shared" si="25"/>
        <v>11383.4</v>
      </c>
      <c r="G117" s="213">
        <f t="shared" si="25"/>
        <v>8725.2</v>
      </c>
      <c r="H117" s="213">
        <f t="shared" si="25"/>
        <v>7145.2</v>
      </c>
      <c r="I117" s="213">
        <f t="shared" si="25"/>
        <v>8645.2</v>
      </c>
      <c r="J117" s="213">
        <f t="shared" si="25"/>
        <v>8645.2</v>
      </c>
      <c r="K117" s="470"/>
      <c r="L117" s="466"/>
      <c r="M117" s="466"/>
      <c r="N117" s="466"/>
      <c r="O117" s="466"/>
      <c r="P117" s="466"/>
      <c r="Q117" s="456"/>
    </row>
    <row r="118" spans="1:17" ht="15" customHeight="1">
      <c r="A118" s="457"/>
      <c r="B118" s="460"/>
      <c r="C118" s="463"/>
      <c r="D118" s="210" t="s">
        <v>6</v>
      </c>
      <c r="E118" s="213">
        <f aca="true" t="shared" si="26" ref="E118:J118">E122</f>
        <v>312095.3</v>
      </c>
      <c r="F118" s="213">
        <f t="shared" si="26"/>
        <v>59581.4</v>
      </c>
      <c r="G118" s="213">
        <f t="shared" si="26"/>
        <v>56986.6</v>
      </c>
      <c r="H118" s="213">
        <f t="shared" si="26"/>
        <v>62160.9</v>
      </c>
      <c r="I118" s="213">
        <f t="shared" si="26"/>
        <v>66683.2</v>
      </c>
      <c r="J118" s="213">
        <f t="shared" si="26"/>
        <v>66683.2</v>
      </c>
      <c r="K118" s="465"/>
      <c r="L118" s="467"/>
      <c r="M118" s="467"/>
      <c r="N118" s="467"/>
      <c r="O118" s="467"/>
      <c r="P118" s="467"/>
      <c r="Q118" s="457"/>
    </row>
    <row r="119" spans="1:17" ht="21" customHeight="1">
      <c r="A119" s="455" t="s">
        <v>96</v>
      </c>
      <c r="B119" s="458" t="s">
        <v>110</v>
      </c>
      <c r="C119" s="461" t="s">
        <v>161</v>
      </c>
      <c r="D119" s="172" t="s">
        <v>222</v>
      </c>
      <c r="E119" s="202">
        <f aca="true" t="shared" si="27" ref="E119:J119">E120</f>
        <v>44544.2</v>
      </c>
      <c r="F119" s="202">
        <f t="shared" si="27"/>
        <v>11383.4</v>
      </c>
      <c r="G119" s="202">
        <f t="shared" si="27"/>
        <v>8725.2</v>
      </c>
      <c r="H119" s="202">
        <f t="shared" si="27"/>
        <v>7145.2</v>
      </c>
      <c r="I119" s="202">
        <f t="shared" si="27"/>
        <v>8645.2</v>
      </c>
      <c r="J119" s="202">
        <f t="shared" si="27"/>
        <v>8645.2</v>
      </c>
      <c r="K119" s="464" t="s">
        <v>267</v>
      </c>
      <c r="L119" s="449" t="s">
        <v>236</v>
      </c>
      <c r="M119" s="449" t="s">
        <v>236</v>
      </c>
      <c r="N119" s="449" t="s">
        <v>236</v>
      </c>
      <c r="O119" s="449" t="s">
        <v>236</v>
      </c>
      <c r="P119" s="449" t="s">
        <v>236</v>
      </c>
      <c r="Q119" s="449" t="s">
        <v>51</v>
      </c>
    </row>
    <row r="120" spans="1:17" ht="14.25" customHeight="1">
      <c r="A120" s="456"/>
      <c r="B120" s="459"/>
      <c r="C120" s="462"/>
      <c r="D120" s="451" t="s">
        <v>5</v>
      </c>
      <c r="E120" s="453">
        <f>SUM(F120:J121)</f>
        <v>44544.2</v>
      </c>
      <c r="F120" s="453">
        <v>11383.4</v>
      </c>
      <c r="G120" s="453">
        <f>8645.2+80</f>
        <v>8725.2</v>
      </c>
      <c r="H120" s="453">
        <v>7145.2</v>
      </c>
      <c r="I120" s="453">
        <v>8645.2</v>
      </c>
      <c r="J120" s="453">
        <v>8645.2</v>
      </c>
      <c r="K120" s="470"/>
      <c r="L120" s="466"/>
      <c r="M120" s="466"/>
      <c r="N120" s="466"/>
      <c r="O120" s="466"/>
      <c r="P120" s="466"/>
      <c r="Q120" s="450"/>
    </row>
    <row r="121" spans="1:17" ht="14.25" customHeight="1">
      <c r="A121" s="457"/>
      <c r="B121" s="460"/>
      <c r="C121" s="463"/>
      <c r="D121" s="468"/>
      <c r="E121" s="469"/>
      <c r="F121" s="469"/>
      <c r="G121" s="469"/>
      <c r="H121" s="469"/>
      <c r="I121" s="469"/>
      <c r="J121" s="469"/>
      <c r="K121" s="465"/>
      <c r="L121" s="467"/>
      <c r="M121" s="467"/>
      <c r="N121" s="467"/>
      <c r="O121" s="467"/>
      <c r="P121" s="467"/>
      <c r="Q121" s="448"/>
    </row>
    <row r="122" spans="1:17" ht="24" customHeight="1">
      <c r="A122" s="455" t="s">
        <v>97</v>
      </c>
      <c r="B122" s="458" t="s">
        <v>108</v>
      </c>
      <c r="C122" s="461" t="s">
        <v>161</v>
      </c>
      <c r="D122" s="172" t="s">
        <v>265</v>
      </c>
      <c r="E122" s="61">
        <f>SUM(F122:J122)</f>
        <v>312095.3</v>
      </c>
      <c r="F122" s="61">
        <f>SUM(F124:F127)</f>
        <v>59581.4</v>
      </c>
      <c r="G122" s="61">
        <f>SUM(G124:G128)</f>
        <v>56986.6</v>
      </c>
      <c r="H122" s="61">
        <f>SUM(H124:H128)</f>
        <v>62160.9</v>
      </c>
      <c r="I122" s="61">
        <f>SUM(I124:I128)</f>
        <v>66683.2</v>
      </c>
      <c r="J122" s="61">
        <f>SUM(J124:J128)</f>
        <v>66683.2</v>
      </c>
      <c r="K122" s="513"/>
      <c r="L122" s="522"/>
      <c r="M122" s="522"/>
      <c r="N122" s="522"/>
      <c r="O122" s="522"/>
      <c r="P122" s="522"/>
      <c r="Q122" s="449"/>
    </row>
    <row r="123" spans="1:17" ht="24" customHeight="1">
      <c r="A123" s="457"/>
      <c r="B123" s="460"/>
      <c r="C123" s="463"/>
      <c r="D123" s="205" t="s">
        <v>6</v>
      </c>
      <c r="E123" s="201">
        <f aca="true" t="shared" si="28" ref="E123:J123">E122</f>
        <v>312095.3</v>
      </c>
      <c r="F123" s="201">
        <f t="shared" si="28"/>
        <v>59581.4</v>
      </c>
      <c r="G123" s="201">
        <f t="shared" si="28"/>
        <v>56986.6</v>
      </c>
      <c r="H123" s="201">
        <f t="shared" si="28"/>
        <v>62160.9</v>
      </c>
      <c r="I123" s="201">
        <f t="shared" si="28"/>
        <v>66683.2</v>
      </c>
      <c r="J123" s="201">
        <f t="shared" si="28"/>
        <v>66683.2</v>
      </c>
      <c r="K123" s="521"/>
      <c r="L123" s="510"/>
      <c r="M123" s="510"/>
      <c r="N123" s="510"/>
      <c r="O123" s="510"/>
      <c r="P123" s="510"/>
      <c r="Q123" s="448"/>
    </row>
    <row r="124" spans="1:17" ht="26.25" customHeight="1">
      <c r="A124" s="455" t="s">
        <v>112</v>
      </c>
      <c r="B124" s="458" t="s">
        <v>62</v>
      </c>
      <c r="C124" s="433" t="s">
        <v>161</v>
      </c>
      <c r="D124" s="451" t="s">
        <v>6</v>
      </c>
      <c r="E124" s="490">
        <f>SUM(F124:J125)</f>
        <v>310796.10000000003</v>
      </c>
      <c r="F124" s="490">
        <f>62197.9-3100.2</f>
        <v>59097.700000000004</v>
      </c>
      <c r="G124" s="490">
        <f>60023.4-3252.3</f>
        <v>56771.1</v>
      </c>
      <c r="H124" s="490">
        <v>61960.9</v>
      </c>
      <c r="I124" s="490">
        <v>66483.2</v>
      </c>
      <c r="J124" s="490">
        <v>66483.2</v>
      </c>
      <c r="K124" s="513" t="s">
        <v>263</v>
      </c>
      <c r="L124" s="509" t="s">
        <v>236</v>
      </c>
      <c r="M124" s="509" t="s">
        <v>236</v>
      </c>
      <c r="N124" s="509" t="s">
        <v>236</v>
      </c>
      <c r="O124" s="509" t="s">
        <v>236</v>
      </c>
      <c r="P124" s="509" t="s">
        <v>236</v>
      </c>
      <c r="Q124" s="449" t="s">
        <v>51</v>
      </c>
    </row>
    <row r="125" spans="1:17" ht="21" customHeight="1">
      <c r="A125" s="475"/>
      <c r="B125" s="476"/>
      <c r="C125" s="433"/>
      <c r="D125" s="452"/>
      <c r="E125" s="490"/>
      <c r="F125" s="490"/>
      <c r="G125" s="490"/>
      <c r="H125" s="490"/>
      <c r="I125" s="490"/>
      <c r="J125" s="490"/>
      <c r="K125" s="521"/>
      <c r="L125" s="520"/>
      <c r="M125" s="520"/>
      <c r="N125" s="520"/>
      <c r="O125" s="520"/>
      <c r="P125" s="520"/>
      <c r="Q125" s="471"/>
    </row>
    <row r="126" spans="1:17" ht="24.75" customHeight="1">
      <c r="A126" s="502" t="s">
        <v>111</v>
      </c>
      <c r="B126" s="503" t="s">
        <v>61</v>
      </c>
      <c r="C126" s="433" t="s">
        <v>161</v>
      </c>
      <c r="D126" s="451" t="s">
        <v>6</v>
      </c>
      <c r="E126" s="490">
        <f>SUM(F126:J127)</f>
        <v>483.7</v>
      </c>
      <c r="F126" s="490">
        <v>483.7</v>
      </c>
      <c r="G126" s="490">
        <v>0</v>
      </c>
      <c r="H126" s="490">
        <v>0</v>
      </c>
      <c r="I126" s="490">
        <v>0</v>
      </c>
      <c r="J126" s="490">
        <v>0</v>
      </c>
      <c r="K126" s="513" t="s">
        <v>263</v>
      </c>
      <c r="L126" s="509" t="s">
        <v>236</v>
      </c>
      <c r="M126" s="509" t="s">
        <v>213</v>
      </c>
      <c r="N126" s="509" t="s">
        <v>213</v>
      </c>
      <c r="O126" s="509" t="s">
        <v>213</v>
      </c>
      <c r="P126" s="509" t="s">
        <v>213</v>
      </c>
      <c r="Q126" s="509" t="s">
        <v>51</v>
      </c>
    </row>
    <row r="127" spans="1:17" ht="13.5" customHeight="1">
      <c r="A127" s="502"/>
      <c r="B127" s="503"/>
      <c r="C127" s="433"/>
      <c r="D127" s="468"/>
      <c r="E127" s="511"/>
      <c r="F127" s="511"/>
      <c r="G127" s="511"/>
      <c r="H127" s="511"/>
      <c r="I127" s="511"/>
      <c r="J127" s="511"/>
      <c r="K127" s="521"/>
      <c r="L127" s="520"/>
      <c r="M127" s="520"/>
      <c r="N127" s="520"/>
      <c r="O127" s="520"/>
      <c r="P127" s="520"/>
      <c r="Q127" s="509"/>
    </row>
    <row r="128" spans="1:17" ht="39.75" customHeight="1">
      <c r="A128" s="228" t="s">
        <v>271</v>
      </c>
      <c r="B128" s="232" t="s">
        <v>67</v>
      </c>
      <c r="C128" s="238" t="s">
        <v>272</v>
      </c>
      <c r="D128" s="220" t="s">
        <v>6</v>
      </c>
      <c r="E128" s="216">
        <f>F128+G128+H128+I128+J128</f>
        <v>815.5</v>
      </c>
      <c r="F128" s="216">
        <v>0</v>
      </c>
      <c r="G128" s="216">
        <v>215.5</v>
      </c>
      <c r="H128" s="216">
        <v>200</v>
      </c>
      <c r="I128" s="216">
        <v>200</v>
      </c>
      <c r="J128" s="216">
        <v>200</v>
      </c>
      <c r="K128" s="235" t="s">
        <v>264</v>
      </c>
      <c r="L128" s="215" t="s">
        <v>213</v>
      </c>
      <c r="M128" s="215" t="s">
        <v>236</v>
      </c>
      <c r="N128" s="215" t="s">
        <v>236</v>
      </c>
      <c r="O128" s="215" t="s">
        <v>236</v>
      </c>
      <c r="P128" s="215" t="s">
        <v>236</v>
      </c>
      <c r="Q128" s="209" t="s">
        <v>51</v>
      </c>
    </row>
    <row r="129" spans="1:17" ht="24" customHeight="1">
      <c r="A129" s="455" t="s">
        <v>113</v>
      </c>
      <c r="B129" s="458" t="s">
        <v>60</v>
      </c>
      <c r="C129" s="461" t="s">
        <v>161</v>
      </c>
      <c r="D129" s="478" t="s">
        <v>249</v>
      </c>
      <c r="E129" s="518">
        <f>SUM(F129:J131)</f>
        <v>56647.7</v>
      </c>
      <c r="F129" s="515">
        <f>F132+F133</f>
        <v>13374.299999999997</v>
      </c>
      <c r="G129" s="515">
        <f>G132+G133</f>
        <v>11099.699999999999</v>
      </c>
      <c r="H129" s="515">
        <f>H132+H133</f>
        <v>9657.9</v>
      </c>
      <c r="I129" s="515">
        <f>I132+I133</f>
        <v>11257.9</v>
      </c>
      <c r="J129" s="515">
        <f>J132+J133</f>
        <v>11257.9</v>
      </c>
      <c r="K129" s="458" t="s">
        <v>268</v>
      </c>
      <c r="L129" s="506" t="s">
        <v>269</v>
      </c>
      <c r="M129" s="506" t="s">
        <v>269</v>
      </c>
      <c r="N129" s="506" t="s">
        <v>270</v>
      </c>
      <c r="O129" s="506" t="s">
        <v>270</v>
      </c>
      <c r="P129" s="506" t="s">
        <v>270</v>
      </c>
      <c r="Q129" s="455"/>
    </row>
    <row r="130" spans="1:17" ht="24" customHeight="1">
      <c r="A130" s="475"/>
      <c r="B130" s="476"/>
      <c r="C130" s="477"/>
      <c r="D130" s="517"/>
      <c r="E130" s="519"/>
      <c r="F130" s="516"/>
      <c r="G130" s="516"/>
      <c r="H130" s="516"/>
      <c r="I130" s="516"/>
      <c r="J130" s="516"/>
      <c r="K130" s="476"/>
      <c r="L130" s="507"/>
      <c r="M130" s="507"/>
      <c r="N130" s="507"/>
      <c r="O130" s="507"/>
      <c r="P130" s="507"/>
      <c r="Q130" s="475"/>
    </row>
    <row r="131" spans="1:17" ht="9.75" customHeight="1">
      <c r="A131" s="475"/>
      <c r="B131" s="476"/>
      <c r="C131" s="477"/>
      <c r="D131" s="479"/>
      <c r="E131" s="519"/>
      <c r="F131" s="516"/>
      <c r="G131" s="516"/>
      <c r="H131" s="516"/>
      <c r="I131" s="516"/>
      <c r="J131" s="516"/>
      <c r="K131" s="476"/>
      <c r="L131" s="507"/>
      <c r="M131" s="507"/>
      <c r="N131" s="507"/>
      <c r="O131" s="507"/>
      <c r="P131" s="507"/>
      <c r="Q131" s="475"/>
    </row>
    <row r="132" spans="1:17" ht="9.75" customHeight="1">
      <c r="A132" s="456"/>
      <c r="B132" s="459"/>
      <c r="C132" s="462"/>
      <c r="D132" s="210" t="s">
        <v>5</v>
      </c>
      <c r="E132" s="207">
        <f aca="true" t="shared" si="29" ref="E132:J132">E135</f>
        <v>48549.59999999999</v>
      </c>
      <c r="F132" s="207">
        <f t="shared" si="29"/>
        <v>11842.399999999998</v>
      </c>
      <c r="G132" s="207">
        <f t="shared" si="29"/>
        <v>9551.8</v>
      </c>
      <c r="H132" s="207">
        <f t="shared" si="29"/>
        <v>8051.8</v>
      </c>
      <c r="I132" s="207">
        <f t="shared" si="29"/>
        <v>9551.8</v>
      </c>
      <c r="J132" s="207">
        <f t="shared" si="29"/>
        <v>9551.8</v>
      </c>
      <c r="K132" s="459"/>
      <c r="L132" s="507"/>
      <c r="M132" s="507"/>
      <c r="N132" s="507"/>
      <c r="O132" s="507"/>
      <c r="P132" s="507"/>
      <c r="Q132" s="456"/>
    </row>
    <row r="133" spans="1:17" ht="9.75" customHeight="1">
      <c r="A133" s="457"/>
      <c r="B133" s="460"/>
      <c r="C133" s="463"/>
      <c r="D133" s="210" t="s">
        <v>6</v>
      </c>
      <c r="E133" s="207">
        <f aca="true" t="shared" si="30" ref="E133:J133">E138</f>
        <v>8098.1</v>
      </c>
      <c r="F133" s="207">
        <f t="shared" si="30"/>
        <v>1531.9</v>
      </c>
      <c r="G133" s="207">
        <f t="shared" si="30"/>
        <v>1547.9</v>
      </c>
      <c r="H133" s="207">
        <f t="shared" si="30"/>
        <v>1606.1</v>
      </c>
      <c r="I133" s="207">
        <f t="shared" si="30"/>
        <v>1706.1</v>
      </c>
      <c r="J133" s="207">
        <f t="shared" si="30"/>
        <v>1706.1</v>
      </c>
      <c r="K133" s="460"/>
      <c r="L133" s="508"/>
      <c r="M133" s="508"/>
      <c r="N133" s="508"/>
      <c r="O133" s="508"/>
      <c r="P133" s="508"/>
      <c r="Q133" s="457"/>
    </row>
    <row r="134" spans="1:17" ht="24" customHeight="1">
      <c r="A134" s="455" t="s">
        <v>98</v>
      </c>
      <c r="B134" s="458" t="s">
        <v>114</v>
      </c>
      <c r="C134" s="461" t="s">
        <v>161</v>
      </c>
      <c r="D134" s="172" t="s">
        <v>265</v>
      </c>
      <c r="E134" s="217">
        <f aca="true" t="shared" si="31" ref="E134:J134">E135</f>
        <v>48549.59999999999</v>
      </c>
      <c r="F134" s="217">
        <f t="shared" si="31"/>
        <v>11842.399999999998</v>
      </c>
      <c r="G134" s="217">
        <f t="shared" si="31"/>
        <v>9551.8</v>
      </c>
      <c r="H134" s="217">
        <f t="shared" si="31"/>
        <v>8051.8</v>
      </c>
      <c r="I134" s="217">
        <f t="shared" si="31"/>
        <v>9551.8</v>
      </c>
      <c r="J134" s="217">
        <f t="shared" si="31"/>
        <v>9551.8</v>
      </c>
      <c r="K134" s="513" t="s">
        <v>267</v>
      </c>
      <c r="L134" s="506" t="s">
        <v>236</v>
      </c>
      <c r="M134" s="506" t="s">
        <v>236</v>
      </c>
      <c r="N134" s="506" t="s">
        <v>236</v>
      </c>
      <c r="O134" s="506" t="s">
        <v>236</v>
      </c>
      <c r="P134" s="506" t="s">
        <v>236</v>
      </c>
      <c r="Q134" s="509" t="s">
        <v>142</v>
      </c>
    </row>
    <row r="135" spans="1:17" ht="21" customHeight="1">
      <c r="A135" s="456"/>
      <c r="B135" s="459"/>
      <c r="C135" s="462"/>
      <c r="D135" s="451" t="s">
        <v>5</v>
      </c>
      <c r="E135" s="490">
        <f>SUM(F135:J136)</f>
        <v>48549.59999999999</v>
      </c>
      <c r="F135" s="453">
        <f>10904.3-89.1-29.7+1056.9</f>
        <v>11842.399999999998</v>
      </c>
      <c r="G135" s="453">
        <v>9551.8</v>
      </c>
      <c r="H135" s="453">
        <v>8051.8</v>
      </c>
      <c r="I135" s="453">
        <v>9551.8</v>
      </c>
      <c r="J135" s="453">
        <v>9551.8</v>
      </c>
      <c r="K135" s="514"/>
      <c r="L135" s="507"/>
      <c r="M135" s="507"/>
      <c r="N135" s="507"/>
      <c r="O135" s="507"/>
      <c r="P135" s="507"/>
      <c r="Q135" s="510"/>
    </row>
    <row r="136" spans="1:17" ht="5.25" customHeight="1">
      <c r="A136" s="457"/>
      <c r="B136" s="460"/>
      <c r="C136" s="463"/>
      <c r="D136" s="468"/>
      <c r="E136" s="511"/>
      <c r="F136" s="469"/>
      <c r="G136" s="469"/>
      <c r="H136" s="469"/>
      <c r="I136" s="469"/>
      <c r="J136" s="469"/>
      <c r="K136" s="514"/>
      <c r="L136" s="508"/>
      <c r="M136" s="508"/>
      <c r="N136" s="508"/>
      <c r="O136" s="508"/>
      <c r="P136" s="508"/>
      <c r="Q136" s="510"/>
    </row>
    <row r="137" spans="1:17" ht="25.5" customHeight="1">
      <c r="A137" s="502" t="s">
        <v>115</v>
      </c>
      <c r="B137" s="503" t="s">
        <v>67</v>
      </c>
      <c r="C137" s="461" t="s">
        <v>161</v>
      </c>
      <c r="D137" s="172" t="s">
        <v>265</v>
      </c>
      <c r="E137" s="231">
        <f aca="true" t="shared" si="32" ref="E137:J137">E138</f>
        <v>8098.1</v>
      </c>
      <c r="F137" s="231">
        <f t="shared" si="32"/>
        <v>1531.9</v>
      </c>
      <c r="G137" s="231">
        <f t="shared" si="32"/>
        <v>1547.9</v>
      </c>
      <c r="H137" s="231">
        <f t="shared" si="32"/>
        <v>1606.1</v>
      </c>
      <c r="I137" s="231">
        <f t="shared" si="32"/>
        <v>1706.1</v>
      </c>
      <c r="J137" s="231">
        <f t="shared" si="32"/>
        <v>1706.1</v>
      </c>
      <c r="K137" s="464" t="s">
        <v>264</v>
      </c>
      <c r="L137" s="449" t="s">
        <v>236</v>
      </c>
      <c r="M137" s="449" t="s">
        <v>236</v>
      </c>
      <c r="N137" s="449" t="s">
        <v>236</v>
      </c>
      <c r="O137" s="449" t="s">
        <v>236</v>
      </c>
      <c r="P137" s="449" t="s">
        <v>236</v>
      </c>
      <c r="Q137" s="449" t="s">
        <v>142</v>
      </c>
    </row>
    <row r="138" spans="1:17" ht="16.5" customHeight="1">
      <c r="A138" s="487"/>
      <c r="B138" s="504"/>
      <c r="C138" s="462"/>
      <c r="D138" s="451" t="s">
        <v>6</v>
      </c>
      <c r="E138" s="489">
        <f>SUM(F138:J141)</f>
        <v>8098.1</v>
      </c>
      <c r="F138" s="489">
        <v>1531.9</v>
      </c>
      <c r="G138" s="489">
        <v>1547.9</v>
      </c>
      <c r="H138" s="489">
        <v>1606.1</v>
      </c>
      <c r="I138" s="489">
        <v>1706.1</v>
      </c>
      <c r="J138" s="489">
        <v>1706.1</v>
      </c>
      <c r="K138" s="470"/>
      <c r="L138" s="500"/>
      <c r="M138" s="500"/>
      <c r="N138" s="500"/>
      <c r="O138" s="500"/>
      <c r="P138" s="500"/>
      <c r="Q138" s="450"/>
    </row>
    <row r="139" spans="1:17" ht="11.25" customHeight="1">
      <c r="A139" s="487"/>
      <c r="B139" s="504"/>
      <c r="C139" s="462"/>
      <c r="D139" s="505"/>
      <c r="E139" s="489"/>
      <c r="F139" s="489"/>
      <c r="G139" s="489"/>
      <c r="H139" s="489"/>
      <c r="I139" s="489"/>
      <c r="J139" s="489"/>
      <c r="K139" s="470"/>
      <c r="L139" s="500"/>
      <c r="M139" s="500"/>
      <c r="N139" s="500"/>
      <c r="O139" s="500"/>
      <c r="P139" s="500"/>
      <c r="Q139" s="450"/>
    </row>
    <row r="140" spans="1:17" ht="10.5" customHeight="1">
      <c r="A140" s="487"/>
      <c r="B140" s="504"/>
      <c r="C140" s="462"/>
      <c r="D140" s="505"/>
      <c r="E140" s="489"/>
      <c r="F140" s="489"/>
      <c r="G140" s="489"/>
      <c r="H140" s="489"/>
      <c r="I140" s="489"/>
      <c r="J140" s="489"/>
      <c r="K140" s="470"/>
      <c r="L140" s="500"/>
      <c r="M140" s="500"/>
      <c r="N140" s="500"/>
      <c r="O140" s="500"/>
      <c r="P140" s="500"/>
      <c r="Q140" s="450"/>
    </row>
    <row r="141" spans="1:17" ht="12.75" customHeight="1" hidden="1">
      <c r="A141" s="487"/>
      <c r="B141" s="504"/>
      <c r="C141" s="462"/>
      <c r="D141" s="531"/>
      <c r="E141" s="489"/>
      <c r="F141" s="489"/>
      <c r="G141" s="489"/>
      <c r="H141" s="489"/>
      <c r="I141" s="489"/>
      <c r="J141" s="489"/>
      <c r="K141" s="465"/>
      <c r="L141" s="501"/>
      <c r="M141" s="501"/>
      <c r="N141" s="501"/>
      <c r="O141" s="501"/>
      <c r="P141" s="501"/>
      <c r="Q141" s="448"/>
    </row>
    <row r="142" spans="1:17" ht="12" customHeight="1">
      <c r="A142" s="426"/>
      <c r="B142" s="434" t="s">
        <v>49</v>
      </c>
      <c r="C142" s="426"/>
      <c r="D142" s="60" t="s">
        <v>11</v>
      </c>
      <c r="E142" s="438">
        <f aca="true" t="shared" si="33" ref="E142:J142">SUM(E144:E145)</f>
        <v>773573.9</v>
      </c>
      <c r="F142" s="438">
        <f t="shared" si="33"/>
        <v>159427.1</v>
      </c>
      <c r="G142" s="438">
        <f t="shared" si="33"/>
        <v>147878.2</v>
      </c>
      <c r="H142" s="438">
        <f t="shared" si="33"/>
        <v>146586</v>
      </c>
      <c r="I142" s="438">
        <f t="shared" si="33"/>
        <v>159841.30000000002</v>
      </c>
      <c r="J142" s="438">
        <f t="shared" si="33"/>
        <v>159841.30000000002</v>
      </c>
      <c r="K142" s="545"/>
      <c r="L142" s="432"/>
      <c r="M142" s="432"/>
      <c r="N142" s="432"/>
      <c r="O142" s="432"/>
      <c r="P142" s="432"/>
      <c r="Q142" s="426"/>
    </row>
    <row r="143" spans="1:17" ht="12" customHeight="1">
      <c r="A143" s="426"/>
      <c r="B143" s="434"/>
      <c r="C143" s="426"/>
      <c r="D143" s="60" t="s">
        <v>12</v>
      </c>
      <c r="E143" s="438"/>
      <c r="F143" s="438"/>
      <c r="G143" s="438"/>
      <c r="H143" s="438"/>
      <c r="I143" s="438"/>
      <c r="J143" s="438"/>
      <c r="K143" s="545"/>
      <c r="L143" s="425"/>
      <c r="M143" s="425"/>
      <c r="N143" s="425"/>
      <c r="O143" s="425"/>
      <c r="P143" s="425"/>
      <c r="Q143" s="426"/>
    </row>
    <row r="144" spans="1:17" ht="12" customHeight="1">
      <c r="A144" s="426"/>
      <c r="B144" s="434"/>
      <c r="C144" s="426"/>
      <c r="D144" s="210" t="s">
        <v>5</v>
      </c>
      <c r="E144" s="207">
        <f>SUM(F144:J144)</f>
        <v>212553.6</v>
      </c>
      <c r="F144" s="207">
        <f>SUM(F135,F120,F93)</f>
        <v>51717.2</v>
      </c>
      <c r="G144" s="207">
        <f>SUM(G135,G120,G93)</f>
        <v>40569.1</v>
      </c>
      <c r="H144" s="207">
        <f>SUM(H135,H120,H93)</f>
        <v>36089.1</v>
      </c>
      <c r="I144" s="207">
        <f>SUM(I135,I120,I93)</f>
        <v>42089.1</v>
      </c>
      <c r="J144" s="207">
        <f>SUM(J135,J120,J93)</f>
        <v>42089.1</v>
      </c>
      <c r="K144" s="545"/>
      <c r="L144" s="425"/>
      <c r="M144" s="425"/>
      <c r="N144" s="425"/>
      <c r="O144" s="425"/>
      <c r="P144" s="425"/>
      <c r="Q144" s="426"/>
    </row>
    <row r="145" spans="1:17" ht="12" customHeight="1">
      <c r="A145" s="426"/>
      <c r="B145" s="434"/>
      <c r="C145" s="426"/>
      <c r="D145" s="210" t="s">
        <v>6</v>
      </c>
      <c r="E145" s="207">
        <f>SUM(F145:J145)</f>
        <v>561020.3</v>
      </c>
      <c r="F145" s="207">
        <f>SUM(F138,F126,F124,F111,F109,F106,F103,F100,F98)</f>
        <v>107709.90000000001</v>
      </c>
      <c r="G145" s="207">
        <f>G118+G133+G91</f>
        <v>107309.1</v>
      </c>
      <c r="H145" s="207">
        <f>H118+H133+H91</f>
        <v>110496.9</v>
      </c>
      <c r="I145" s="207">
        <f>I118+I133+I91</f>
        <v>117752.20000000001</v>
      </c>
      <c r="J145" s="207">
        <f>J118+J133+J91</f>
        <v>117752.20000000001</v>
      </c>
      <c r="K145" s="545"/>
      <c r="L145" s="425"/>
      <c r="M145" s="425"/>
      <c r="N145" s="425"/>
      <c r="O145" s="425"/>
      <c r="P145" s="425"/>
      <c r="Q145" s="426"/>
    </row>
    <row r="146" spans="1:17" ht="15" customHeight="1">
      <c r="A146" s="144" t="s">
        <v>116</v>
      </c>
      <c r="B146" s="491" t="s">
        <v>117</v>
      </c>
      <c r="C146" s="492"/>
      <c r="D146" s="492"/>
      <c r="E146" s="492"/>
      <c r="F146" s="492"/>
      <c r="G146" s="492"/>
      <c r="H146" s="492"/>
      <c r="I146" s="492"/>
      <c r="J146" s="492"/>
      <c r="K146" s="492"/>
      <c r="L146" s="492"/>
      <c r="M146" s="492"/>
      <c r="N146" s="492"/>
      <c r="O146" s="492"/>
      <c r="P146" s="492"/>
      <c r="Q146" s="493"/>
    </row>
    <row r="147" spans="1:17" ht="52.5" customHeight="1">
      <c r="A147" s="228" t="s">
        <v>118</v>
      </c>
      <c r="B147" s="232" t="s">
        <v>71</v>
      </c>
      <c r="C147" s="426" t="s">
        <v>161</v>
      </c>
      <c r="D147" s="172" t="s">
        <v>207</v>
      </c>
      <c r="E147" s="229">
        <f aca="true" t="shared" si="34" ref="E147:J147">SUM(E148:E150)</f>
        <v>1012.7</v>
      </c>
      <c r="F147" s="229">
        <f t="shared" si="34"/>
        <v>294.5</v>
      </c>
      <c r="G147" s="229">
        <f t="shared" si="34"/>
        <v>351.2</v>
      </c>
      <c r="H147" s="229">
        <f t="shared" si="34"/>
        <v>130</v>
      </c>
      <c r="I147" s="229">
        <f t="shared" si="34"/>
        <v>118.5</v>
      </c>
      <c r="J147" s="229">
        <f t="shared" si="34"/>
        <v>118.5</v>
      </c>
      <c r="K147" s="464" t="s">
        <v>273</v>
      </c>
      <c r="L147" s="197" t="s">
        <v>236</v>
      </c>
      <c r="M147" s="197" t="s">
        <v>236</v>
      </c>
      <c r="N147" s="197" t="s">
        <v>236</v>
      </c>
      <c r="O147" s="197" t="s">
        <v>236</v>
      </c>
      <c r="P147" s="197" t="s">
        <v>236</v>
      </c>
      <c r="Q147" s="449" t="s">
        <v>51</v>
      </c>
    </row>
    <row r="148" spans="1:17" ht="48" customHeight="1">
      <c r="A148" s="486" t="s">
        <v>287</v>
      </c>
      <c r="B148" s="757" t="s">
        <v>286</v>
      </c>
      <c r="C148" s="494"/>
      <c r="D148" s="425" t="s">
        <v>6</v>
      </c>
      <c r="E148" s="489">
        <f>SUM(F148:J149)</f>
        <v>601.7</v>
      </c>
      <c r="F148" s="490">
        <v>98.5</v>
      </c>
      <c r="G148" s="490">
        <f>136.6-0.4</f>
        <v>136.2</v>
      </c>
      <c r="H148" s="414">
        <v>130</v>
      </c>
      <c r="I148" s="414">
        <v>118.5</v>
      </c>
      <c r="J148" s="414">
        <v>118.5</v>
      </c>
      <c r="K148" s="470"/>
      <c r="L148" s="480">
        <v>100</v>
      </c>
      <c r="M148" s="480">
        <v>100</v>
      </c>
      <c r="N148" s="480">
        <v>100</v>
      </c>
      <c r="O148" s="480">
        <v>100</v>
      </c>
      <c r="P148" s="480">
        <v>100</v>
      </c>
      <c r="Q148" s="495"/>
    </row>
    <row r="149" spans="1:17" ht="11.25" customHeight="1">
      <c r="A149" s="487"/>
      <c r="B149" s="514"/>
      <c r="C149" s="494"/>
      <c r="D149" s="425"/>
      <c r="E149" s="425"/>
      <c r="F149" s="490"/>
      <c r="G149" s="490"/>
      <c r="H149" s="414"/>
      <c r="I149" s="414"/>
      <c r="J149" s="414"/>
      <c r="K149" s="470"/>
      <c r="L149" s="481"/>
      <c r="M149" s="481"/>
      <c r="N149" s="481"/>
      <c r="O149" s="481"/>
      <c r="P149" s="481"/>
      <c r="Q149" s="495"/>
    </row>
    <row r="150" spans="1:17" ht="21" customHeight="1">
      <c r="A150" s="206" t="s">
        <v>288</v>
      </c>
      <c r="B150" s="232" t="s">
        <v>204</v>
      </c>
      <c r="C150" s="494"/>
      <c r="D150" s="210" t="s">
        <v>5</v>
      </c>
      <c r="E150" s="207">
        <f>F150+G150+H150+I150+J150</f>
        <v>411</v>
      </c>
      <c r="F150" s="207">
        <v>196</v>
      </c>
      <c r="G150" s="207">
        <v>215</v>
      </c>
      <c r="H150" s="201">
        <v>0</v>
      </c>
      <c r="I150" s="201">
        <v>0</v>
      </c>
      <c r="J150" s="201">
        <v>0</v>
      </c>
      <c r="K150" s="465"/>
      <c r="L150" s="237">
        <v>100</v>
      </c>
      <c r="M150" s="237">
        <v>100</v>
      </c>
      <c r="N150" s="237">
        <v>0</v>
      </c>
      <c r="O150" s="237">
        <v>0</v>
      </c>
      <c r="P150" s="237">
        <v>0</v>
      </c>
      <c r="Q150" s="496"/>
    </row>
    <row r="151" spans="1:17" ht="21" customHeight="1">
      <c r="A151" s="455" t="s">
        <v>119</v>
      </c>
      <c r="B151" s="458" t="s">
        <v>70</v>
      </c>
      <c r="C151" s="461" t="s">
        <v>161</v>
      </c>
      <c r="D151" s="172" t="s">
        <v>207</v>
      </c>
      <c r="E151" s="217">
        <v>11330.3</v>
      </c>
      <c r="F151" s="217">
        <v>2294.7</v>
      </c>
      <c r="G151" s="217">
        <v>2258.9</v>
      </c>
      <c r="H151" s="61">
        <v>2258.9</v>
      </c>
      <c r="I151" s="61">
        <v>2258.9</v>
      </c>
      <c r="J151" s="61">
        <v>2258.9</v>
      </c>
      <c r="K151" s="464" t="s">
        <v>274</v>
      </c>
      <c r="L151" s="449" t="s">
        <v>275</v>
      </c>
      <c r="M151" s="449" t="s">
        <v>275</v>
      </c>
      <c r="N151" s="449" t="s">
        <v>275</v>
      </c>
      <c r="O151" s="449" t="s">
        <v>275</v>
      </c>
      <c r="P151" s="449" t="s">
        <v>275</v>
      </c>
      <c r="Q151" s="449" t="s">
        <v>51</v>
      </c>
    </row>
    <row r="152" spans="1:17" ht="15.75" customHeight="1">
      <c r="A152" s="482"/>
      <c r="B152" s="459"/>
      <c r="C152" s="484"/>
      <c r="D152" s="210" t="s">
        <v>5</v>
      </c>
      <c r="E152" s="213">
        <f>SUM(F152:J152)</f>
        <v>5399.3</v>
      </c>
      <c r="F152" s="213">
        <f>1250-18.7-196</f>
        <v>1035.3</v>
      </c>
      <c r="G152" s="213">
        <f>1000+364</f>
        <v>1364</v>
      </c>
      <c r="H152" s="213">
        <v>1000</v>
      </c>
      <c r="I152" s="213">
        <v>1000</v>
      </c>
      <c r="J152" s="213">
        <v>1000</v>
      </c>
      <c r="K152" s="470"/>
      <c r="L152" s="471"/>
      <c r="M152" s="471"/>
      <c r="N152" s="471"/>
      <c r="O152" s="471"/>
      <c r="P152" s="471"/>
      <c r="Q152" s="450"/>
    </row>
    <row r="153" spans="1:17" ht="21" customHeight="1">
      <c r="A153" s="483"/>
      <c r="B153" s="460"/>
      <c r="C153" s="485"/>
      <c r="D153" s="210" t="s">
        <v>6</v>
      </c>
      <c r="E153" s="213">
        <f>SUM(F153:J153)</f>
        <v>6295</v>
      </c>
      <c r="F153" s="213">
        <v>1259.4</v>
      </c>
      <c r="G153" s="213">
        <v>1258.9</v>
      </c>
      <c r="H153" s="213">
        <v>1258.9</v>
      </c>
      <c r="I153" s="213">
        <v>1258.9</v>
      </c>
      <c r="J153" s="213">
        <v>1258.9</v>
      </c>
      <c r="K153" s="465"/>
      <c r="L153" s="472"/>
      <c r="M153" s="472"/>
      <c r="N153" s="472"/>
      <c r="O153" s="472"/>
      <c r="P153" s="472"/>
      <c r="Q153" s="448"/>
    </row>
    <row r="154" spans="1:17" ht="14.25" customHeight="1">
      <c r="A154" s="455" t="s">
        <v>120</v>
      </c>
      <c r="B154" s="458" t="s">
        <v>133</v>
      </c>
      <c r="C154" s="461" t="s">
        <v>161</v>
      </c>
      <c r="D154" s="478" t="s">
        <v>221</v>
      </c>
      <c r="E154" s="473">
        <f aca="true" t="shared" si="35" ref="E154:J154">SUM(E158,E164)</f>
        <v>715.4</v>
      </c>
      <c r="F154" s="473">
        <f t="shared" si="35"/>
        <v>607.4</v>
      </c>
      <c r="G154" s="473">
        <f t="shared" si="35"/>
        <v>27</v>
      </c>
      <c r="H154" s="473">
        <f t="shared" si="35"/>
        <v>27</v>
      </c>
      <c r="I154" s="473">
        <f t="shared" si="35"/>
        <v>27</v>
      </c>
      <c r="J154" s="473">
        <f t="shared" si="35"/>
        <v>27</v>
      </c>
      <c r="K154" s="464" t="s">
        <v>263</v>
      </c>
      <c r="L154" s="449" t="s">
        <v>236</v>
      </c>
      <c r="M154" s="449" t="s">
        <v>236</v>
      </c>
      <c r="N154" s="449" t="s">
        <v>236</v>
      </c>
      <c r="O154" s="449" t="s">
        <v>236</v>
      </c>
      <c r="P154" s="449" t="s">
        <v>236</v>
      </c>
      <c r="Q154" s="449" t="s">
        <v>51</v>
      </c>
    </row>
    <row r="155" spans="1:17" ht="11.25" customHeight="1">
      <c r="A155" s="475"/>
      <c r="B155" s="476"/>
      <c r="C155" s="477"/>
      <c r="D155" s="479"/>
      <c r="E155" s="473"/>
      <c r="F155" s="473"/>
      <c r="G155" s="473"/>
      <c r="H155" s="473"/>
      <c r="I155" s="473"/>
      <c r="J155" s="473"/>
      <c r="K155" s="474"/>
      <c r="L155" s="471"/>
      <c r="M155" s="471"/>
      <c r="N155" s="471"/>
      <c r="O155" s="471"/>
      <c r="P155" s="471"/>
      <c r="Q155" s="471"/>
    </row>
    <row r="156" spans="1:17" ht="11.25" customHeight="1">
      <c r="A156" s="457"/>
      <c r="B156" s="460"/>
      <c r="C156" s="463"/>
      <c r="D156" s="220" t="s">
        <v>5</v>
      </c>
      <c r="E156" s="213">
        <f aca="true" t="shared" si="36" ref="E156:J156">E154</f>
        <v>715.4</v>
      </c>
      <c r="F156" s="213">
        <f t="shared" si="36"/>
        <v>607.4</v>
      </c>
      <c r="G156" s="213">
        <f t="shared" si="36"/>
        <v>27</v>
      </c>
      <c r="H156" s="213">
        <f t="shared" si="36"/>
        <v>27</v>
      </c>
      <c r="I156" s="213">
        <f t="shared" si="36"/>
        <v>27</v>
      </c>
      <c r="J156" s="213">
        <f t="shared" si="36"/>
        <v>27</v>
      </c>
      <c r="K156" s="465"/>
      <c r="L156" s="472"/>
      <c r="M156" s="472"/>
      <c r="N156" s="472"/>
      <c r="O156" s="472"/>
      <c r="P156" s="472"/>
      <c r="Q156" s="448"/>
    </row>
    <row r="157" spans="1:17" ht="21" customHeight="1">
      <c r="A157" s="455" t="s">
        <v>121</v>
      </c>
      <c r="B157" s="458" t="s">
        <v>68</v>
      </c>
      <c r="C157" s="461" t="s">
        <v>161</v>
      </c>
      <c r="D157" s="172" t="s">
        <v>207</v>
      </c>
      <c r="E157" s="202">
        <f aca="true" t="shared" si="37" ref="E157:J157">E158</f>
        <v>542.4</v>
      </c>
      <c r="F157" s="202">
        <f t="shared" si="37"/>
        <v>542.4</v>
      </c>
      <c r="G157" s="202">
        <f t="shared" si="37"/>
        <v>0</v>
      </c>
      <c r="H157" s="202">
        <f t="shared" si="37"/>
        <v>0</v>
      </c>
      <c r="I157" s="202">
        <f t="shared" si="37"/>
        <v>0</v>
      </c>
      <c r="J157" s="202">
        <f t="shared" si="37"/>
        <v>0</v>
      </c>
      <c r="K157" s="464" t="s">
        <v>279</v>
      </c>
      <c r="L157" s="447" t="s">
        <v>276</v>
      </c>
      <c r="M157" s="447" t="s">
        <v>277</v>
      </c>
      <c r="N157" s="447" t="s">
        <v>278</v>
      </c>
      <c r="O157" s="447" t="s">
        <v>278</v>
      </c>
      <c r="P157" s="447" t="s">
        <v>278</v>
      </c>
      <c r="Q157" s="449" t="s">
        <v>51</v>
      </c>
    </row>
    <row r="158" spans="1:17" ht="21" customHeight="1">
      <c r="A158" s="456"/>
      <c r="B158" s="459"/>
      <c r="C158" s="462"/>
      <c r="D158" s="451" t="s">
        <v>5</v>
      </c>
      <c r="E158" s="453">
        <f>SUM(F158:H159)</f>
        <v>542.4</v>
      </c>
      <c r="F158" s="453">
        <f>250+292.4</f>
        <v>542.4</v>
      </c>
      <c r="G158" s="453">
        <v>0</v>
      </c>
      <c r="H158" s="453">
        <v>0</v>
      </c>
      <c r="I158" s="453">
        <v>0</v>
      </c>
      <c r="J158" s="453">
        <v>0</v>
      </c>
      <c r="K158" s="470"/>
      <c r="L158" s="471"/>
      <c r="M158" s="471"/>
      <c r="N158" s="471"/>
      <c r="O158" s="471"/>
      <c r="P158" s="471"/>
      <c r="Q158" s="450"/>
    </row>
    <row r="159" spans="1:17" ht="6.75" customHeight="1">
      <c r="A159" s="457"/>
      <c r="B159" s="460"/>
      <c r="C159" s="463"/>
      <c r="D159" s="468"/>
      <c r="E159" s="469"/>
      <c r="F159" s="469"/>
      <c r="G159" s="469"/>
      <c r="H159" s="469"/>
      <c r="I159" s="469"/>
      <c r="J159" s="469"/>
      <c r="K159" s="465"/>
      <c r="L159" s="472"/>
      <c r="M159" s="472"/>
      <c r="N159" s="472"/>
      <c r="O159" s="472"/>
      <c r="P159" s="472"/>
      <c r="Q159" s="448"/>
    </row>
    <row r="160" spans="1:17" ht="24" customHeight="1">
      <c r="A160" s="455" t="s">
        <v>122</v>
      </c>
      <c r="B160" s="458" t="s">
        <v>153</v>
      </c>
      <c r="C160" s="461" t="s">
        <v>161</v>
      </c>
      <c r="D160" s="172" t="s">
        <v>207</v>
      </c>
      <c r="E160" s="203">
        <f aca="true" t="shared" si="38" ref="E160:J160">E161</f>
        <v>0</v>
      </c>
      <c r="F160" s="203">
        <f t="shared" si="38"/>
        <v>0</v>
      </c>
      <c r="G160" s="203">
        <f t="shared" si="38"/>
        <v>0</v>
      </c>
      <c r="H160" s="203">
        <f t="shared" si="38"/>
        <v>0</v>
      </c>
      <c r="I160" s="203">
        <f t="shared" si="38"/>
        <v>0</v>
      </c>
      <c r="J160" s="203">
        <f t="shared" si="38"/>
        <v>0</v>
      </c>
      <c r="K160" s="464" t="s">
        <v>281</v>
      </c>
      <c r="L160" s="447" t="s">
        <v>280</v>
      </c>
      <c r="M160" s="447" t="s">
        <v>282</v>
      </c>
      <c r="N160" s="447" t="s">
        <v>283</v>
      </c>
      <c r="O160" s="447" t="s">
        <v>283</v>
      </c>
      <c r="P160" s="447" t="s">
        <v>283</v>
      </c>
      <c r="Q160" s="449" t="s">
        <v>51</v>
      </c>
    </row>
    <row r="161" spans="1:17" ht="17.25" customHeight="1">
      <c r="A161" s="456"/>
      <c r="B161" s="459"/>
      <c r="C161" s="462"/>
      <c r="D161" s="451" t="s">
        <v>5</v>
      </c>
      <c r="E161" s="453">
        <f>SUM(F161:H162)</f>
        <v>0</v>
      </c>
      <c r="F161" s="453">
        <f>20-20</f>
        <v>0</v>
      </c>
      <c r="G161" s="453">
        <v>0</v>
      </c>
      <c r="H161" s="453">
        <v>0</v>
      </c>
      <c r="I161" s="453">
        <v>0</v>
      </c>
      <c r="J161" s="453">
        <v>0</v>
      </c>
      <c r="K161" s="470"/>
      <c r="L161" s="466"/>
      <c r="M161" s="466"/>
      <c r="N161" s="466"/>
      <c r="O161" s="466"/>
      <c r="P161" s="466"/>
      <c r="Q161" s="450"/>
    </row>
    <row r="162" spans="1:17" ht="12" customHeight="1">
      <c r="A162" s="457"/>
      <c r="B162" s="460"/>
      <c r="C162" s="463"/>
      <c r="D162" s="468"/>
      <c r="E162" s="469"/>
      <c r="F162" s="469"/>
      <c r="G162" s="469"/>
      <c r="H162" s="469"/>
      <c r="I162" s="469"/>
      <c r="J162" s="469"/>
      <c r="K162" s="465"/>
      <c r="L162" s="467"/>
      <c r="M162" s="467"/>
      <c r="N162" s="467"/>
      <c r="O162" s="467"/>
      <c r="P162" s="467"/>
      <c r="Q162" s="448"/>
    </row>
    <row r="163" spans="1:17" ht="21.75" customHeight="1">
      <c r="A163" s="455" t="s">
        <v>123</v>
      </c>
      <c r="B163" s="458" t="s">
        <v>69</v>
      </c>
      <c r="C163" s="461" t="s">
        <v>161</v>
      </c>
      <c r="D163" s="172" t="s">
        <v>207</v>
      </c>
      <c r="E163" s="203">
        <f aca="true" t="shared" si="39" ref="E163:J163">E164</f>
        <v>173</v>
      </c>
      <c r="F163" s="203">
        <f t="shared" si="39"/>
        <v>65</v>
      </c>
      <c r="G163" s="203">
        <f t="shared" si="39"/>
        <v>27</v>
      </c>
      <c r="H163" s="203">
        <f t="shared" si="39"/>
        <v>27</v>
      </c>
      <c r="I163" s="203">
        <f t="shared" si="39"/>
        <v>27</v>
      </c>
      <c r="J163" s="203">
        <f t="shared" si="39"/>
        <v>27</v>
      </c>
      <c r="K163" s="464" t="s">
        <v>284</v>
      </c>
      <c r="L163" s="447" t="s">
        <v>236</v>
      </c>
      <c r="M163" s="447" t="s">
        <v>236</v>
      </c>
      <c r="N163" s="447" t="s">
        <v>236</v>
      </c>
      <c r="O163" s="447" t="s">
        <v>236</v>
      </c>
      <c r="P163" s="447" t="s">
        <v>236</v>
      </c>
      <c r="Q163" s="449" t="s">
        <v>51</v>
      </c>
    </row>
    <row r="164" spans="1:17" ht="21.75" customHeight="1">
      <c r="A164" s="456"/>
      <c r="B164" s="459"/>
      <c r="C164" s="462"/>
      <c r="D164" s="451" t="s">
        <v>5</v>
      </c>
      <c r="E164" s="453">
        <f>SUM(F164:J164)</f>
        <v>173</v>
      </c>
      <c r="F164" s="453">
        <v>65</v>
      </c>
      <c r="G164" s="453">
        <v>27</v>
      </c>
      <c r="H164" s="453">
        <v>27</v>
      </c>
      <c r="I164" s="453">
        <v>27</v>
      </c>
      <c r="J164" s="453">
        <v>27</v>
      </c>
      <c r="K164" s="465"/>
      <c r="L164" s="448"/>
      <c r="M164" s="448"/>
      <c r="N164" s="448"/>
      <c r="O164" s="448"/>
      <c r="P164" s="448"/>
      <c r="Q164" s="450"/>
    </row>
    <row r="165" spans="1:17" ht="23.25" customHeight="1" thickBot="1">
      <c r="A165" s="457"/>
      <c r="B165" s="460"/>
      <c r="C165" s="463"/>
      <c r="D165" s="452"/>
      <c r="E165" s="454"/>
      <c r="F165" s="454"/>
      <c r="G165" s="454"/>
      <c r="H165" s="454"/>
      <c r="I165" s="454"/>
      <c r="J165" s="454"/>
      <c r="K165" s="226" t="s">
        <v>285</v>
      </c>
      <c r="L165" s="197" t="s">
        <v>236</v>
      </c>
      <c r="M165" s="197" t="s">
        <v>236</v>
      </c>
      <c r="N165" s="197" t="s">
        <v>236</v>
      </c>
      <c r="O165" s="197" t="s">
        <v>236</v>
      </c>
      <c r="P165" s="197" t="s">
        <v>236</v>
      </c>
      <c r="Q165" s="448"/>
    </row>
    <row r="166" spans="1:17" ht="12" customHeight="1">
      <c r="A166" s="426"/>
      <c r="B166" s="434" t="s">
        <v>124</v>
      </c>
      <c r="C166" s="433"/>
      <c r="D166" s="64" t="s">
        <v>11</v>
      </c>
      <c r="E166" s="437">
        <f aca="true" t="shared" si="40" ref="E166:J166">SUM(E168:E169)</f>
        <v>13422.399999999998</v>
      </c>
      <c r="F166" s="437">
        <f t="shared" si="40"/>
        <v>3196.6</v>
      </c>
      <c r="G166" s="437">
        <f t="shared" si="40"/>
        <v>3001.1000000000004</v>
      </c>
      <c r="H166" s="439">
        <f t="shared" si="40"/>
        <v>2415.9</v>
      </c>
      <c r="I166" s="439">
        <f t="shared" si="40"/>
        <v>2404.4</v>
      </c>
      <c r="J166" s="439">
        <f t="shared" si="40"/>
        <v>2404.4</v>
      </c>
      <c r="K166" s="441"/>
      <c r="L166" s="432"/>
      <c r="M166" s="432"/>
      <c r="N166" s="432"/>
      <c r="O166" s="432"/>
      <c r="P166" s="432"/>
      <c r="Q166" s="426"/>
    </row>
    <row r="167" spans="1:17" ht="12" customHeight="1">
      <c r="A167" s="426"/>
      <c r="B167" s="434"/>
      <c r="C167" s="433"/>
      <c r="D167" s="65" t="s">
        <v>12</v>
      </c>
      <c r="E167" s="438"/>
      <c r="F167" s="438"/>
      <c r="G167" s="438"/>
      <c r="H167" s="440"/>
      <c r="I167" s="440"/>
      <c r="J167" s="440"/>
      <c r="K167" s="442"/>
      <c r="L167" s="425"/>
      <c r="M167" s="425"/>
      <c r="N167" s="425"/>
      <c r="O167" s="425"/>
      <c r="P167" s="425"/>
      <c r="Q167" s="426"/>
    </row>
    <row r="168" spans="1:17" ht="12" customHeight="1">
      <c r="A168" s="426"/>
      <c r="B168" s="434"/>
      <c r="C168" s="433"/>
      <c r="D168" s="66" t="s">
        <v>5</v>
      </c>
      <c r="E168" s="207">
        <f>SUM(F168:J168)</f>
        <v>6525.7</v>
      </c>
      <c r="F168" s="207">
        <f>SUM(F154,F152,F150)</f>
        <v>1838.6999999999998</v>
      </c>
      <c r="G168" s="207">
        <f>SUM(G154,G152,G150)</f>
        <v>1606</v>
      </c>
      <c r="H168" s="207">
        <f>SUM(H154,H152,H150)</f>
        <v>1027</v>
      </c>
      <c r="I168" s="207">
        <f>SUM(I154,I152,I150)</f>
        <v>1027</v>
      </c>
      <c r="J168" s="207">
        <f>SUM(J154,J152,J150)</f>
        <v>1027</v>
      </c>
      <c r="K168" s="442"/>
      <c r="L168" s="425"/>
      <c r="M168" s="425"/>
      <c r="N168" s="425"/>
      <c r="O168" s="425"/>
      <c r="P168" s="425"/>
      <c r="Q168" s="426"/>
    </row>
    <row r="169" spans="1:17" ht="12" customHeight="1" thickBot="1">
      <c r="A169" s="426"/>
      <c r="B169" s="434"/>
      <c r="C169" s="433"/>
      <c r="D169" s="67" t="s">
        <v>6</v>
      </c>
      <c r="E169" s="72">
        <f>SUM(F169:J169)</f>
        <v>6896.699999999999</v>
      </c>
      <c r="F169" s="72">
        <f>SUM(F148,F153)</f>
        <v>1357.9</v>
      </c>
      <c r="G169" s="72">
        <f>SUM(G148,G153)</f>
        <v>1395.1000000000001</v>
      </c>
      <c r="H169" s="73">
        <f>SUM(H148,H153)</f>
        <v>1388.9</v>
      </c>
      <c r="I169" s="73">
        <f>SUM(I148,I153)</f>
        <v>1377.4</v>
      </c>
      <c r="J169" s="73">
        <f>SUM(J148,J153)</f>
        <v>1377.4</v>
      </c>
      <c r="K169" s="443"/>
      <c r="L169" s="425"/>
      <c r="M169" s="425"/>
      <c r="N169" s="425"/>
      <c r="O169" s="425"/>
      <c r="P169" s="425"/>
      <c r="Q169" s="426"/>
    </row>
    <row r="170" spans="1:17" ht="15.75" customHeight="1">
      <c r="A170" s="433"/>
      <c r="B170" s="742" t="s">
        <v>13</v>
      </c>
      <c r="C170" s="744"/>
      <c r="D170" s="754" t="s">
        <v>220</v>
      </c>
      <c r="E170" s="750">
        <f aca="true" t="shared" si="41" ref="E170:J170">SUM(E172:E173)</f>
        <v>802469.6</v>
      </c>
      <c r="F170" s="756">
        <f t="shared" si="41"/>
        <v>173578.2</v>
      </c>
      <c r="G170" s="750">
        <f>SUM(G172:G173)</f>
        <v>154213.1</v>
      </c>
      <c r="H170" s="751">
        <f t="shared" si="41"/>
        <v>149396.9</v>
      </c>
      <c r="I170" s="751">
        <f t="shared" si="41"/>
        <v>162640.7</v>
      </c>
      <c r="J170" s="751">
        <f t="shared" si="41"/>
        <v>162640.7</v>
      </c>
      <c r="K170" s="431"/>
      <c r="L170" s="425"/>
      <c r="M170" s="425"/>
      <c r="N170" s="425"/>
      <c r="O170" s="425"/>
      <c r="P170" s="425"/>
      <c r="Q170" s="426"/>
    </row>
    <row r="171" spans="1:17" ht="15.75" customHeight="1" thickBot="1">
      <c r="A171" s="433"/>
      <c r="B171" s="743"/>
      <c r="C171" s="745"/>
      <c r="D171" s="755"/>
      <c r="E171" s="750"/>
      <c r="F171" s="756"/>
      <c r="G171" s="750"/>
      <c r="H171" s="751"/>
      <c r="I171" s="751"/>
      <c r="J171" s="751"/>
      <c r="K171" s="431"/>
      <c r="L171" s="425"/>
      <c r="M171" s="425"/>
      <c r="N171" s="425"/>
      <c r="O171" s="425"/>
      <c r="P171" s="425"/>
      <c r="Q171" s="426"/>
    </row>
    <row r="172" spans="1:17" ht="15.75" customHeight="1" thickBot="1">
      <c r="A172" s="433"/>
      <c r="B172" s="743"/>
      <c r="C172" s="745"/>
      <c r="D172" s="68" t="s">
        <v>5</v>
      </c>
      <c r="E172" s="74">
        <f>SUM(F172:J172)</f>
        <v>233964.30000000002</v>
      </c>
      <c r="F172" s="75">
        <f>SUM(F168,F144,F83,F36,F26,F16)</f>
        <v>64241.399999999994</v>
      </c>
      <c r="G172" s="75">
        <f>SUM(G168,G144,G83,G36,G26,G16,)</f>
        <v>45189.6</v>
      </c>
      <c r="H172" s="75">
        <f>SUM(H168,H144,H83,H36,H26,H16)</f>
        <v>37511.1</v>
      </c>
      <c r="I172" s="75">
        <f>SUM(I168,I144,I83,I36,I26,I16)</f>
        <v>43511.1</v>
      </c>
      <c r="J172" s="75">
        <f>SUM(J168,J144,J83,J36,J26,J16)</f>
        <v>43511.1</v>
      </c>
      <c r="K172" s="431"/>
      <c r="L172" s="425"/>
      <c r="M172" s="425"/>
      <c r="N172" s="425"/>
      <c r="O172" s="425"/>
      <c r="P172" s="425"/>
      <c r="Q172" s="426"/>
    </row>
    <row r="173" spans="1:17" ht="15.75" customHeight="1" thickBot="1">
      <c r="A173" s="433"/>
      <c r="B173" s="752"/>
      <c r="C173" s="753"/>
      <c r="D173" s="69" t="s">
        <v>6</v>
      </c>
      <c r="E173" s="76">
        <f>SUM(F173:J173)</f>
        <v>568505.2999999999</v>
      </c>
      <c r="F173" s="77">
        <f>SUM(F169,F145,F84)</f>
        <v>109336.8</v>
      </c>
      <c r="G173" s="77">
        <f>SUM(G169,G145,G84)</f>
        <v>109023.50000000001</v>
      </c>
      <c r="H173" s="77">
        <f>SUM(H169,H145)</f>
        <v>111885.79999999999</v>
      </c>
      <c r="I173" s="77">
        <f>SUM(I169,I145)</f>
        <v>119129.6</v>
      </c>
      <c r="J173" s="77">
        <f>SUM(J169,J145)</f>
        <v>119129.6</v>
      </c>
      <c r="K173" s="431"/>
      <c r="L173" s="425"/>
      <c r="M173" s="425"/>
      <c r="N173" s="425"/>
      <c r="O173" s="425"/>
      <c r="P173" s="425"/>
      <c r="Q173" s="426"/>
    </row>
    <row r="176" ht="18.75" customHeight="1">
      <c r="F176" s="143"/>
    </row>
    <row r="177" spans="6:9" ht="18.75" customHeight="1">
      <c r="F177" s="143"/>
      <c r="G177" s="143"/>
      <c r="I177" s="143"/>
    </row>
  </sheetData>
  <sheetProtection/>
  <mergeCells count="672">
    <mergeCell ref="A2:Q2"/>
    <mergeCell ref="A4:A5"/>
    <mergeCell ref="B4:B5"/>
    <mergeCell ref="C4:C5"/>
    <mergeCell ref="D4:D5"/>
    <mergeCell ref="E4:J4"/>
    <mergeCell ref="K4:P4"/>
    <mergeCell ref="Q4:Q5"/>
    <mergeCell ref="B7:Q7"/>
    <mergeCell ref="B8:Q8"/>
    <mergeCell ref="A9:A13"/>
    <mergeCell ref="B9:B13"/>
    <mergeCell ref="C9:C13"/>
    <mergeCell ref="K9:K13"/>
    <mergeCell ref="L9:L13"/>
    <mergeCell ref="M9:M13"/>
    <mergeCell ref="N9:N13"/>
    <mergeCell ref="O9:O13"/>
    <mergeCell ref="P9:P13"/>
    <mergeCell ref="Q9:Q13"/>
    <mergeCell ref="D10:D13"/>
    <mergeCell ref="E10:E13"/>
    <mergeCell ref="F10:F13"/>
    <mergeCell ref="G10:G13"/>
    <mergeCell ref="H10:H13"/>
    <mergeCell ref="I10:I13"/>
    <mergeCell ref="J10:J13"/>
    <mergeCell ref="K14:K17"/>
    <mergeCell ref="L14:L17"/>
    <mergeCell ref="A14:A17"/>
    <mergeCell ref="B14:B17"/>
    <mergeCell ref="C14:C17"/>
    <mergeCell ref="D14:D15"/>
    <mergeCell ref="E14:E15"/>
    <mergeCell ref="F14:F15"/>
    <mergeCell ref="M14:M17"/>
    <mergeCell ref="N14:N17"/>
    <mergeCell ref="O14:O17"/>
    <mergeCell ref="P14:P17"/>
    <mergeCell ref="Q14:Q17"/>
    <mergeCell ref="B18:Q18"/>
    <mergeCell ref="G14:G15"/>
    <mergeCell ref="H14:H15"/>
    <mergeCell ref="I14:I15"/>
    <mergeCell ref="J14:J15"/>
    <mergeCell ref="A19:A23"/>
    <mergeCell ref="B19:B23"/>
    <mergeCell ref="C19:C23"/>
    <mergeCell ref="K19:K23"/>
    <mergeCell ref="L19:L23"/>
    <mergeCell ref="M19:M23"/>
    <mergeCell ref="J20:J21"/>
    <mergeCell ref="D22:D23"/>
    <mergeCell ref="E22:E23"/>
    <mergeCell ref="F22:F23"/>
    <mergeCell ref="N19:N23"/>
    <mergeCell ref="O19:O23"/>
    <mergeCell ref="P19:P23"/>
    <mergeCell ref="Q19:Q23"/>
    <mergeCell ref="D20:D21"/>
    <mergeCell ref="E20:E21"/>
    <mergeCell ref="F20:F21"/>
    <mergeCell ref="G20:G21"/>
    <mergeCell ref="H20:H21"/>
    <mergeCell ref="I20:I21"/>
    <mergeCell ref="A24:A27"/>
    <mergeCell ref="B24:B27"/>
    <mergeCell ref="C24:C27"/>
    <mergeCell ref="D24:D25"/>
    <mergeCell ref="E24:E25"/>
    <mergeCell ref="F24:F25"/>
    <mergeCell ref="K24:K27"/>
    <mergeCell ref="L24:L27"/>
    <mergeCell ref="G22:G23"/>
    <mergeCell ref="H22:H23"/>
    <mergeCell ref="I22:I23"/>
    <mergeCell ref="J22:J23"/>
    <mergeCell ref="M24:M27"/>
    <mergeCell ref="N24:N27"/>
    <mergeCell ref="O24:O27"/>
    <mergeCell ref="P24:P27"/>
    <mergeCell ref="Q24:Q27"/>
    <mergeCell ref="B28:Q28"/>
    <mergeCell ref="G24:G25"/>
    <mergeCell ref="H24:H25"/>
    <mergeCell ref="I24:I25"/>
    <mergeCell ref="J24:J25"/>
    <mergeCell ref="A29:A33"/>
    <mergeCell ref="B29:B33"/>
    <mergeCell ref="C29:C33"/>
    <mergeCell ref="K29:K31"/>
    <mergeCell ref="L29:L31"/>
    <mergeCell ref="M29:M31"/>
    <mergeCell ref="J30:J33"/>
    <mergeCell ref="K32:K33"/>
    <mergeCell ref="L32:L33"/>
    <mergeCell ref="M32:M33"/>
    <mergeCell ref="N29:N31"/>
    <mergeCell ref="O29:O31"/>
    <mergeCell ref="P29:P31"/>
    <mergeCell ref="Q29:Q33"/>
    <mergeCell ref="D30:D33"/>
    <mergeCell ref="E30:E33"/>
    <mergeCell ref="F30:F33"/>
    <mergeCell ref="G30:G33"/>
    <mergeCell ref="H30:H33"/>
    <mergeCell ref="I30:I33"/>
    <mergeCell ref="N32:N33"/>
    <mergeCell ref="O32:O33"/>
    <mergeCell ref="P32:P33"/>
    <mergeCell ref="A34:A37"/>
    <mergeCell ref="B34:B37"/>
    <mergeCell ref="C34:C37"/>
    <mergeCell ref="D34:D35"/>
    <mergeCell ref="E34:E35"/>
    <mergeCell ref="F34:F35"/>
    <mergeCell ref="G34:G35"/>
    <mergeCell ref="H34:H35"/>
    <mergeCell ref="I34:I35"/>
    <mergeCell ref="J34:J35"/>
    <mergeCell ref="K34:K37"/>
    <mergeCell ref="L34:L37"/>
    <mergeCell ref="M34:M37"/>
    <mergeCell ref="N34:N37"/>
    <mergeCell ref="O34:O37"/>
    <mergeCell ref="P34:P37"/>
    <mergeCell ref="Q34:Q37"/>
    <mergeCell ref="B38:Q38"/>
    <mergeCell ref="A39:A43"/>
    <mergeCell ref="B39:B43"/>
    <mergeCell ref="C39:C43"/>
    <mergeCell ref="K39:K43"/>
    <mergeCell ref="D40:D43"/>
    <mergeCell ref="E40:E41"/>
    <mergeCell ref="F40:F41"/>
    <mergeCell ref="G40:G41"/>
    <mergeCell ref="H40:H41"/>
    <mergeCell ref="I40:I41"/>
    <mergeCell ref="J40:J41"/>
    <mergeCell ref="L40:L41"/>
    <mergeCell ref="M40:M41"/>
    <mergeCell ref="N40:N41"/>
    <mergeCell ref="O40:O41"/>
    <mergeCell ref="P40:P41"/>
    <mergeCell ref="Q40:Q41"/>
    <mergeCell ref="E42:E43"/>
    <mergeCell ref="F42:F43"/>
    <mergeCell ref="G42:G43"/>
    <mergeCell ref="H42:H43"/>
    <mergeCell ref="I42:I43"/>
    <mergeCell ref="J42:J43"/>
    <mergeCell ref="L42:L43"/>
    <mergeCell ref="M42:M43"/>
    <mergeCell ref="N42:N43"/>
    <mergeCell ref="O42:O43"/>
    <mergeCell ref="P42:P43"/>
    <mergeCell ref="Q42:Q43"/>
    <mergeCell ref="A44:A46"/>
    <mergeCell ref="B44:B46"/>
    <mergeCell ref="C44:C46"/>
    <mergeCell ref="K44:K46"/>
    <mergeCell ref="A47:A49"/>
    <mergeCell ref="B47:B49"/>
    <mergeCell ref="C47:C49"/>
    <mergeCell ref="K47:K49"/>
    <mergeCell ref="A50:A52"/>
    <mergeCell ref="B50:B52"/>
    <mergeCell ref="C50:C52"/>
    <mergeCell ref="K50:K52"/>
    <mergeCell ref="A53:A57"/>
    <mergeCell ref="B53:B57"/>
    <mergeCell ref="C53:C57"/>
    <mergeCell ref="D53:D55"/>
    <mergeCell ref="E53:E55"/>
    <mergeCell ref="F53:F55"/>
    <mergeCell ref="G53:G55"/>
    <mergeCell ref="H53:H55"/>
    <mergeCell ref="I53:I55"/>
    <mergeCell ref="J53:J55"/>
    <mergeCell ref="K53:K57"/>
    <mergeCell ref="L53:L57"/>
    <mergeCell ref="M53:M57"/>
    <mergeCell ref="N53:N57"/>
    <mergeCell ref="O53:O57"/>
    <mergeCell ref="P53:P57"/>
    <mergeCell ref="Q53:Q57"/>
    <mergeCell ref="A58:A60"/>
    <mergeCell ref="B58:B60"/>
    <mergeCell ref="C58:C60"/>
    <mergeCell ref="K58:K60"/>
    <mergeCell ref="L58:L60"/>
    <mergeCell ref="M58:M60"/>
    <mergeCell ref="N58:N60"/>
    <mergeCell ref="O58:O60"/>
    <mergeCell ref="P58:P60"/>
    <mergeCell ref="Q58:Q60"/>
    <mergeCell ref="D59:D60"/>
    <mergeCell ref="E59:E60"/>
    <mergeCell ref="F59:F60"/>
    <mergeCell ref="G59:G60"/>
    <mergeCell ref="H59:H60"/>
    <mergeCell ref="Q61:Q63"/>
    <mergeCell ref="I59:I60"/>
    <mergeCell ref="J59:J60"/>
    <mergeCell ref="A61:A63"/>
    <mergeCell ref="B61:B63"/>
    <mergeCell ref="C61:C63"/>
    <mergeCell ref="K61:K63"/>
    <mergeCell ref="D62:D63"/>
    <mergeCell ref="E62:E63"/>
    <mergeCell ref="F62:F63"/>
    <mergeCell ref="A64:A65"/>
    <mergeCell ref="B64:B65"/>
    <mergeCell ref="C64:C65"/>
    <mergeCell ref="L61:L63"/>
    <mergeCell ref="M61:M63"/>
    <mergeCell ref="N61:N63"/>
    <mergeCell ref="G62:G63"/>
    <mergeCell ref="L64:L65"/>
    <mergeCell ref="M64:M65"/>
    <mergeCell ref="N64:N65"/>
    <mergeCell ref="O64:O65"/>
    <mergeCell ref="P64:P65"/>
    <mergeCell ref="H62:H63"/>
    <mergeCell ref="I62:I63"/>
    <mergeCell ref="J62:J63"/>
    <mergeCell ref="O61:O63"/>
    <mergeCell ref="P61:P63"/>
    <mergeCell ref="Q64:Q65"/>
    <mergeCell ref="C66:C68"/>
    <mergeCell ref="K66:K68"/>
    <mergeCell ref="L66:L68"/>
    <mergeCell ref="M66:M68"/>
    <mergeCell ref="N66:N68"/>
    <mergeCell ref="O66:O68"/>
    <mergeCell ref="P66:P68"/>
    <mergeCell ref="Q66:Q68"/>
    <mergeCell ref="K64:K65"/>
    <mergeCell ref="A69:A74"/>
    <mergeCell ref="B69:B74"/>
    <mergeCell ref="C69:C74"/>
    <mergeCell ref="D69:D72"/>
    <mergeCell ref="E69:E72"/>
    <mergeCell ref="F69:F72"/>
    <mergeCell ref="G69:G72"/>
    <mergeCell ref="H69:H72"/>
    <mergeCell ref="I69:I72"/>
    <mergeCell ref="J69:J72"/>
    <mergeCell ref="K69:K74"/>
    <mergeCell ref="L69:L74"/>
    <mergeCell ref="M69:M74"/>
    <mergeCell ref="N69:N74"/>
    <mergeCell ref="O69:O74"/>
    <mergeCell ref="P69:P74"/>
    <mergeCell ref="Q69:Q74"/>
    <mergeCell ref="A75:A77"/>
    <mergeCell ref="B75:B77"/>
    <mergeCell ref="C75:C77"/>
    <mergeCell ref="K75:K77"/>
    <mergeCell ref="L75:L77"/>
    <mergeCell ref="M75:M77"/>
    <mergeCell ref="N75:N77"/>
    <mergeCell ref="O75:O77"/>
    <mergeCell ref="P75:P77"/>
    <mergeCell ref="Q75:Q77"/>
    <mergeCell ref="D76:D77"/>
    <mergeCell ref="E76:E77"/>
    <mergeCell ref="F76:F77"/>
    <mergeCell ref="G76:G77"/>
    <mergeCell ref="H76:H77"/>
    <mergeCell ref="I76:I77"/>
    <mergeCell ref="J76:J77"/>
    <mergeCell ref="A78:A80"/>
    <mergeCell ref="B78:B80"/>
    <mergeCell ref="C78:C80"/>
    <mergeCell ref="K78:K80"/>
    <mergeCell ref="L78:L80"/>
    <mergeCell ref="M78:M80"/>
    <mergeCell ref="N78:N80"/>
    <mergeCell ref="O78:O80"/>
    <mergeCell ref="P78:P80"/>
    <mergeCell ref="Q78:Q80"/>
    <mergeCell ref="K81:K84"/>
    <mergeCell ref="L81:L84"/>
    <mergeCell ref="A81:A84"/>
    <mergeCell ref="B81:B84"/>
    <mergeCell ref="C81:C84"/>
    <mergeCell ref="D81:D82"/>
    <mergeCell ref="E81:E82"/>
    <mergeCell ref="F81:F82"/>
    <mergeCell ref="M81:M84"/>
    <mergeCell ref="N81:N84"/>
    <mergeCell ref="O81:O84"/>
    <mergeCell ref="P81:P84"/>
    <mergeCell ref="Q81:Q84"/>
    <mergeCell ref="B85:Q85"/>
    <mergeCell ref="G81:G82"/>
    <mergeCell ref="H81:H82"/>
    <mergeCell ref="I81:I82"/>
    <mergeCell ref="J81:J82"/>
    <mergeCell ref="A86:A91"/>
    <mergeCell ref="B86:B91"/>
    <mergeCell ref="C86:C91"/>
    <mergeCell ref="D86:D89"/>
    <mergeCell ref="E86:E89"/>
    <mergeCell ref="F86:F89"/>
    <mergeCell ref="G86:G89"/>
    <mergeCell ref="H86:H89"/>
    <mergeCell ref="I86:I89"/>
    <mergeCell ref="J86:J89"/>
    <mergeCell ref="K86:K91"/>
    <mergeCell ref="L86:L91"/>
    <mergeCell ref="M86:M91"/>
    <mergeCell ref="N86:N91"/>
    <mergeCell ref="O86:O91"/>
    <mergeCell ref="P86:P91"/>
    <mergeCell ref="Q86:Q91"/>
    <mergeCell ref="A92:A93"/>
    <mergeCell ref="B92:B93"/>
    <mergeCell ref="C92:C93"/>
    <mergeCell ref="K92:K93"/>
    <mergeCell ref="L92:L93"/>
    <mergeCell ref="M92:M93"/>
    <mergeCell ref="N92:N93"/>
    <mergeCell ref="O92:O93"/>
    <mergeCell ref="P92:P93"/>
    <mergeCell ref="Q92:Q93"/>
    <mergeCell ref="A94:A96"/>
    <mergeCell ref="B94:B96"/>
    <mergeCell ref="C94:C96"/>
    <mergeCell ref="D94:D95"/>
    <mergeCell ref="E94:E95"/>
    <mergeCell ref="F94:F95"/>
    <mergeCell ref="G94:G95"/>
    <mergeCell ref="H94:H95"/>
    <mergeCell ref="I94:I95"/>
    <mergeCell ref="J94:J95"/>
    <mergeCell ref="K94:K96"/>
    <mergeCell ref="L94:L96"/>
    <mergeCell ref="M94:M96"/>
    <mergeCell ref="N94:N96"/>
    <mergeCell ref="O94:O96"/>
    <mergeCell ref="P94:P96"/>
    <mergeCell ref="Q94:Q96"/>
    <mergeCell ref="A97:A101"/>
    <mergeCell ref="B97:B101"/>
    <mergeCell ref="C97:C101"/>
    <mergeCell ref="K97:K101"/>
    <mergeCell ref="L97:L101"/>
    <mergeCell ref="M97:M101"/>
    <mergeCell ref="J98:J101"/>
    <mergeCell ref="N97:N101"/>
    <mergeCell ref="O97:O101"/>
    <mergeCell ref="P97:P101"/>
    <mergeCell ref="Q97:Q101"/>
    <mergeCell ref="D98:D101"/>
    <mergeCell ref="E98:E101"/>
    <mergeCell ref="F98:F101"/>
    <mergeCell ref="G98:G101"/>
    <mergeCell ref="H98:H101"/>
    <mergeCell ref="I98:I101"/>
    <mergeCell ref="A102:A104"/>
    <mergeCell ref="B102:B104"/>
    <mergeCell ref="C102:C104"/>
    <mergeCell ref="K102:K104"/>
    <mergeCell ref="L102:L104"/>
    <mergeCell ref="M102:M104"/>
    <mergeCell ref="N102:N104"/>
    <mergeCell ref="O102:O104"/>
    <mergeCell ref="P102:P104"/>
    <mergeCell ref="A105:A106"/>
    <mergeCell ref="B105:B106"/>
    <mergeCell ref="C105:C107"/>
    <mergeCell ref="K105:K106"/>
    <mergeCell ref="L105:L106"/>
    <mergeCell ref="M105:M106"/>
    <mergeCell ref="N105:N106"/>
    <mergeCell ref="O105:O106"/>
    <mergeCell ref="P105:P106"/>
    <mergeCell ref="A108:A109"/>
    <mergeCell ref="B108:B109"/>
    <mergeCell ref="C108:C109"/>
    <mergeCell ref="K108:K109"/>
    <mergeCell ref="L108:L109"/>
    <mergeCell ref="M108:M109"/>
    <mergeCell ref="N108:N109"/>
    <mergeCell ref="O108:O109"/>
    <mergeCell ref="P108:P109"/>
    <mergeCell ref="A110:A112"/>
    <mergeCell ref="B110:B112"/>
    <mergeCell ref="C110:C112"/>
    <mergeCell ref="K110:K112"/>
    <mergeCell ref="L110:L112"/>
    <mergeCell ref="M110:M112"/>
    <mergeCell ref="N110:N112"/>
    <mergeCell ref="O110:O112"/>
    <mergeCell ref="P110:P112"/>
    <mergeCell ref="A113:A118"/>
    <mergeCell ref="B113:B118"/>
    <mergeCell ref="C113:C118"/>
    <mergeCell ref="D113:D116"/>
    <mergeCell ref="E113:E116"/>
    <mergeCell ref="F113:F116"/>
    <mergeCell ref="G113:G116"/>
    <mergeCell ref="H113:H116"/>
    <mergeCell ref="I113:I116"/>
    <mergeCell ref="J113:J116"/>
    <mergeCell ref="K113:K118"/>
    <mergeCell ref="L113:L118"/>
    <mergeCell ref="M113:M118"/>
    <mergeCell ref="N113:N118"/>
    <mergeCell ref="O113:O118"/>
    <mergeCell ref="P113:P118"/>
    <mergeCell ref="Q113:Q118"/>
    <mergeCell ref="A119:A121"/>
    <mergeCell ref="B119:B121"/>
    <mergeCell ref="C119:C121"/>
    <mergeCell ref="K119:K121"/>
    <mergeCell ref="L119:L121"/>
    <mergeCell ref="M119:M121"/>
    <mergeCell ref="N119:N121"/>
    <mergeCell ref="O119:O121"/>
    <mergeCell ref="P119:P121"/>
    <mergeCell ref="Q119:Q121"/>
    <mergeCell ref="D120:D121"/>
    <mergeCell ref="E120:E121"/>
    <mergeCell ref="F120:F121"/>
    <mergeCell ref="G120:G121"/>
    <mergeCell ref="H120:H121"/>
    <mergeCell ref="I120:I121"/>
    <mergeCell ref="J120:J121"/>
    <mergeCell ref="A122:A123"/>
    <mergeCell ref="B122:B123"/>
    <mergeCell ref="C122:C123"/>
    <mergeCell ref="K122:K123"/>
    <mergeCell ref="L122:L123"/>
    <mergeCell ref="M122:M123"/>
    <mergeCell ref="N122:N123"/>
    <mergeCell ref="O122:O123"/>
    <mergeCell ref="P122:P123"/>
    <mergeCell ref="Q122:Q123"/>
    <mergeCell ref="A124:A125"/>
    <mergeCell ref="B124:B125"/>
    <mergeCell ref="C124:C125"/>
    <mergeCell ref="D124:D125"/>
    <mergeCell ref="E124:E125"/>
    <mergeCell ref="F124:F125"/>
    <mergeCell ref="G124:G125"/>
    <mergeCell ref="H124:H125"/>
    <mergeCell ref="I124:I125"/>
    <mergeCell ref="J124:J125"/>
    <mergeCell ref="K124:K125"/>
    <mergeCell ref="L124:L125"/>
    <mergeCell ref="M124:M125"/>
    <mergeCell ref="N124:N125"/>
    <mergeCell ref="O124:O125"/>
    <mergeCell ref="P124:P125"/>
    <mergeCell ref="Q124:Q125"/>
    <mergeCell ref="A126:A127"/>
    <mergeCell ref="B126:B127"/>
    <mergeCell ref="C126:C127"/>
    <mergeCell ref="D126:D127"/>
    <mergeCell ref="E126:E127"/>
    <mergeCell ref="F126:F127"/>
    <mergeCell ref="G126:G127"/>
    <mergeCell ref="H126:H127"/>
    <mergeCell ref="I126:I127"/>
    <mergeCell ref="J126:J127"/>
    <mergeCell ref="K126:K127"/>
    <mergeCell ref="L126:L127"/>
    <mergeCell ref="M126:M127"/>
    <mergeCell ref="N126:N127"/>
    <mergeCell ref="O126:O127"/>
    <mergeCell ref="P126:P127"/>
    <mergeCell ref="Q126:Q127"/>
    <mergeCell ref="A129:A133"/>
    <mergeCell ref="B129:B133"/>
    <mergeCell ref="C129:C133"/>
    <mergeCell ref="D129:D131"/>
    <mergeCell ref="E129:E131"/>
    <mergeCell ref="F129:F131"/>
    <mergeCell ref="G129:G131"/>
    <mergeCell ref="H129:H131"/>
    <mergeCell ref="I129:I131"/>
    <mergeCell ref="J129:J131"/>
    <mergeCell ref="K129:K133"/>
    <mergeCell ref="L129:L133"/>
    <mergeCell ref="M129:M133"/>
    <mergeCell ref="N129:N133"/>
    <mergeCell ref="O129:O133"/>
    <mergeCell ref="P129:P133"/>
    <mergeCell ref="Q129:Q133"/>
    <mergeCell ref="A134:A136"/>
    <mergeCell ref="B134:B136"/>
    <mergeCell ref="C134:C136"/>
    <mergeCell ref="K134:K136"/>
    <mergeCell ref="L134:L136"/>
    <mergeCell ref="M134:M136"/>
    <mergeCell ref="N134:N136"/>
    <mergeCell ref="O134:O136"/>
    <mergeCell ref="P134:P136"/>
    <mergeCell ref="Q134:Q136"/>
    <mergeCell ref="D135:D136"/>
    <mergeCell ref="E135:E136"/>
    <mergeCell ref="F135:F136"/>
    <mergeCell ref="G135:G136"/>
    <mergeCell ref="H135:H136"/>
    <mergeCell ref="I135:I136"/>
    <mergeCell ref="J135:J136"/>
    <mergeCell ref="A137:A141"/>
    <mergeCell ref="B137:B141"/>
    <mergeCell ref="C137:C141"/>
    <mergeCell ref="K137:K141"/>
    <mergeCell ref="D138:D141"/>
    <mergeCell ref="E138:E141"/>
    <mergeCell ref="F138:F141"/>
    <mergeCell ref="G138:G141"/>
    <mergeCell ref="L137:L141"/>
    <mergeCell ref="M137:M141"/>
    <mergeCell ref="N137:N141"/>
    <mergeCell ref="O137:O141"/>
    <mergeCell ref="P137:P141"/>
    <mergeCell ref="Q137:Q141"/>
    <mergeCell ref="H138:H141"/>
    <mergeCell ref="I138:I141"/>
    <mergeCell ref="J138:J141"/>
    <mergeCell ref="A142:A145"/>
    <mergeCell ref="B142:B145"/>
    <mergeCell ref="C142:C145"/>
    <mergeCell ref="E142:E143"/>
    <mergeCell ref="F142:F143"/>
    <mergeCell ref="G142:G143"/>
    <mergeCell ref="H142:H143"/>
    <mergeCell ref="I142:I143"/>
    <mergeCell ref="J142:J143"/>
    <mergeCell ref="K142:K145"/>
    <mergeCell ref="L142:L145"/>
    <mergeCell ref="M142:M145"/>
    <mergeCell ref="N142:N145"/>
    <mergeCell ref="O142:O145"/>
    <mergeCell ref="P142:P145"/>
    <mergeCell ref="Q142:Q145"/>
    <mergeCell ref="B146:Q146"/>
    <mergeCell ref="C147:C150"/>
    <mergeCell ref="K147:K150"/>
    <mergeCell ref="Q147:Q150"/>
    <mergeCell ref="H148:H149"/>
    <mergeCell ref="I148:I149"/>
    <mergeCell ref="J148:J149"/>
    <mergeCell ref="A148:A149"/>
    <mergeCell ref="B148:B149"/>
    <mergeCell ref="D148:D149"/>
    <mergeCell ref="E148:E149"/>
    <mergeCell ref="F148:F149"/>
    <mergeCell ref="G148:G149"/>
    <mergeCell ref="L148:L149"/>
    <mergeCell ref="M148:M149"/>
    <mergeCell ref="N148:N149"/>
    <mergeCell ref="O148:O149"/>
    <mergeCell ref="P148:P149"/>
    <mergeCell ref="A151:A153"/>
    <mergeCell ref="B151:B153"/>
    <mergeCell ref="C151:C153"/>
    <mergeCell ref="K151:K153"/>
    <mergeCell ref="L151:L153"/>
    <mergeCell ref="M151:M153"/>
    <mergeCell ref="N151:N153"/>
    <mergeCell ref="O151:O153"/>
    <mergeCell ref="P151:P153"/>
    <mergeCell ref="Q151:Q153"/>
    <mergeCell ref="A154:A156"/>
    <mergeCell ref="B154:B156"/>
    <mergeCell ref="C154:C156"/>
    <mergeCell ref="D154:D155"/>
    <mergeCell ref="E154:E155"/>
    <mergeCell ref="F154:F155"/>
    <mergeCell ref="G154:G155"/>
    <mergeCell ref="H154:H155"/>
    <mergeCell ref="I154:I155"/>
    <mergeCell ref="J154:J155"/>
    <mergeCell ref="K154:K156"/>
    <mergeCell ref="L154:L156"/>
    <mergeCell ref="M154:M156"/>
    <mergeCell ref="N154:N156"/>
    <mergeCell ref="O154:O156"/>
    <mergeCell ref="P154:P156"/>
    <mergeCell ref="Q154:Q156"/>
    <mergeCell ref="A157:A159"/>
    <mergeCell ref="B157:B159"/>
    <mergeCell ref="C157:C159"/>
    <mergeCell ref="K157:K159"/>
    <mergeCell ref="L157:L159"/>
    <mergeCell ref="M157:M159"/>
    <mergeCell ref="J158:J159"/>
    <mergeCell ref="N157:N159"/>
    <mergeCell ref="O157:O159"/>
    <mergeCell ref="P157:P159"/>
    <mergeCell ref="Q157:Q159"/>
    <mergeCell ref="D158:D159"/>
    <mergeCell ref="E158:E159"/>
    <mergeCell ref="F158:F159"/>
    <mergeCell ref="G158:G159"/>
    <mergeCell ref="H158:H159"/>
    <mergeCell ref="I158:I159"/>
    <mergeCell ref="A160:A162"/>
    <mergeCell ref="B160:B162"/>
    <mergeCell ref="C160:C162"/>
    <mergeCell ref="K160:K162"/>
    <mergeCell ref="L160:L162"/>
    <mergeCell ref="M160:M162"/>
    <mergeCell ref="J161:J162"/>
    <mergeCell ref="N160:N162"/>
    <mergeCell ref="O160:O162"/>
    <mergeCell ref="P160:P162"/>
    <mergeCell ref="Q160:Q162"/>
    <mergeCell ref="D161:D162"/>
    <mergeCell ref="E161:E162"/>
    <mergeCell ref="F161:F162"/>
    <mergeCell ref="G161:G162"/>
    <mergeCell ref="H161:H162"/>
    <mergeCell ref="I161:I162"/>
    <mergeCell ref="A163:A165"/>
    <mergeCell ref="B163:B165"/>
    <mergeCell ref="C163:C165"/>
    <mergeCell ref="K163:K164"/>
    <mergeCell ref="L163:L164"/>
    <mergeCell ref="M163:M164"/>
    <mergeCell ref="J164:J165"/>
    <mergeCell ref="N163:N164"/>
    <mergeCell ref="O163:O164"/>
    <mergeCell ref="P163:P164"/>
    <mergeCell ref="Q163:Q165"/>
    <mergeCell ref="D164:D165"/>
    <mergeCell ref="E164:E165"/>
    <mergeCell ref="F164:F165"/>
    <mergeCell ref="G164:G165"/>
    <mergeCell ref="H164:H165"/>
    <mergeCell ref="I164:I165"/>
    <mergeCell ref="A166:A169"/>
    <mergeCell ref="B166:B169"/>
    <mergeCell ref="C166:C169"/>
    <mergeCell ref="E166:E167"/>
    <mergeCell ref="F166:F167"/>
    <mergeCell ref="G166:G167"/>
    <mergeCell ref="H166:H167"/>
    <mergeCell ref="I166:I167"/>
    <mergeCell ref="J166:J167"/>
    <mergeCell ref="K166:K169"/>
    <mergeCell ref="L166:L169"/>
    <mergeCell ref="M166:M169"/>
    <mergeCell ref="A170:A173"/>
    <mergeCell ref="B170:B173"/>
    <mergeCell ref="C170:C173"/>
    <mergeCell ref="D170:D171"/>
    <mergeCell ref="E170:E171"/>
    <mergeCell ref="F170:F171"/>
    <mergeCell ref="G170:G171"/>
    <mergeCell ref="H170:H171"/>
    <mergeCell ref="I170:I171"/>
    <mergeCell ref="J170:J171"/>
    <mergeCell ref="K170:K173"/>
    <mergeCell ref="L170:L173"/>
    <mergeCell ref="M170:M173"/>
    <mergeCell ref="N170:N173"/>
    <mergeCell ref="O170:O173"/>
    <mergeCell ref="P170:P173"/>
    <mergeCell ref="Q170:Q173"/>
    <mergeCell ref="L1:Q1"/>
    <mergeCell ref="N166:N169"/>
    <mergeCell ref="O166:O169"/>
    <mergeCell ref="P166:P169"/>
    <mergeCell ref="Q166:Q169"/>
  </mergeCells>
  <printOptions horizontalCentered="1"/>
  <pageMargins left="0.2362204724409449" right="0.2362204724409449" top="0.7480314960629921" bottom="0.7480314960629921" header="0.31496062992125984" footer="0.31496062992125984"/>
  <pageSetup fitToHeight="5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2015-11-23T12:23:35Z</dcterms:modified>
  <cp:category/>
  <cp:version/>
  <cp:contentType/>
  <cp:contentStatus/>
</cp:coreProperties>
</file>