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5480" windowHeight="9576" tabRatio="944" firstSheet="63" activeTab="65"/>
  </bookViews>
  <sheets>
    <sheet name="Общая информация" sheetId="1" r:id="rId1"/>
    <sheet name="Перечень МКД" sheetId="2" r:id="rId2"/>
    <sheet name="Расторженные договоры управ-я" sheetId="3" r:id="rId3"/>
    <sheet name="Сведения о членстве в СРО" sheetId="4" r:id="rId4"/>
    <sheet name="Бухгалтерский баланс" sheetId="5" r:id="rId5"/>
    <sheet name="справка" sheetId="6" r:id="rId6"/>
    <sheet name="Отчет о прибылях и убытках" sheetId="7" r:id="rId7"/>
    <sheet name="Перечень услуг" sheetId="8" r:id="rId8"/>
    <sheet name="Проект договора управления" sheetId="9" r:id="rId9"/>
    <sheet name="Сведения о выполнении обяз-тв" sheetId="10" r:id="rId10"/>
    <sheet name="Привлечение к адм. ответст-ти" sheetId="11" r:id="rId11"/>
    <sheet name="Инф. о стоимости работ" sheetId="12" r:id="rId12"/>
    <sheet name="Зар.1" sheetId="13" r:id="rId13"/>
    <sheet name="Зар.2" sheetId="14" r:id="rId14"/>
    <sheet name="Зар.5" sheetId="15" r:id="rId15"/>
    <sheet name="Зар.6" sheetId="16" r:id="rId16"/>
    <sheet name="Зар.7" sheetId="17" r:id="rId17"/>
    <sheet name="Зар.8" sheetId="18" r:id="rId18"/>
    <sheet name="Зар.12" sheetId="19" r:id="rId19"/>
    <sheet name="Зар.13" sheetId="20" r:id="rId20"/>
    <sheet name="Зар.14" sheetId="21" r:id="rId21"/>
    <sheet name="Зар.19" sheetId="22" r:id="rId22"/>
    <sheet name="Зар.21" sheetId="23" r:id="rId23"/>
    <sheet name="Зар.23" sheetId="24" r:id="rId24"/>
    <sheet name="Ц.1" sheetId="25" r:id="rId25"/>
    <sheet name="Ц.3" sheetId="26" r:id="rId26"/>
    <sheet name="Ц.6" sheetId="27" r:id="rId27"/>
    <sheet name="Ц.7" sheetId="28" r:id="rId28"/>
    <sheet name="Ц.21" sheetId="29" r:id="rId29"/>
    <sheet name="Ц.23" sheetId="30" r:id="rId30"/>
    <sheet name="Ц.25" sheetId="31" r:id="rId31"/>
    <sheet name="Зар.16" sheetId="32" r:id="rId32"/>
    <sheet name="Зар.18" sheetId="33" r:id="rId33"/>
    <sheet name="Зар.20" sheetId="34" r:id="rId34"/>
    <sheet name="Зар.22" sheetId="35" r:id="rId35"/>
    <sheet name="Зар.25" sheetId="36" r:id="rId36"/>
    <sheet name="Зар.26" sheetId="37" r:id="rId37"/>
    <sheet name="Зар.27" sheetId="38" r:id="rId38"/>
    <sheet name="Зар.28" sheetId="39" r:id="rId39"/>
    <sheet name="Зар.29" sheetId="40" r:id="rId40"/>
    <sheet name="Зар.30" sheetId="41" r:id="rId41"/>
    <sheet name="Зар.31" sheetId="42" r:id="rId42"/>
    <sheet name="Зар.32" sheetId="43" r:id="rId43"/>
    <sheet name="Зар.33" sheetId="44" r:id="rId44"/>
    <sheet name="Зар.34" sheetId="45" r:id="rId45"/>
    <sheet name="Зар.35" sheetId="46" r:id="rId46"/>
    <sheet name="Зар.36" sheetId="47" r:id="rId47"/>
    <sheet name="Зар.38" sheetId="48" r:id="rId48"/>
    <sheet name="Зар.40" sheetId="49" r:id="rId49"/>
    <sheet name="Зар.41" sheetId="50" r:id="rId50"/>
    <sheet name="Зар.42" sheetId="51" r:id="rId51"/>
    <sheet name="Зар.44" sheetId="52" r:id="rId52"/>
    <sheet name="Зар.46" sheetId="53" r:id="rId53"/>
    <sheet name="Зар.48" sheetId="54" r:id="rId54"/>
    <sheet name="Зар.50" sheetId="55" r:id="rId55"/>
    <sheet name="Зар.52" sheetId="56" r:id="rId56"/>
    <sheet name="Зар.54" sheetId="57" r:id="rId57"/>
    <sheet name="Зар.56" sheetId="58" r:id="rId58"/>
    <sheet name="Зар.58" sheetId="59" r:id="rId59"/>
    <sheet name="Ц.10" sheetId="60" r:id="rId60"/>
    <sheet name="Ц.12" sheetId="61" r:id="rId61"/>
    <sheet name="Ц.14" sheetId="62" r:id="rId62"/>
    <sheet name="Цены (тарифы) на ком. ресурсы" sheetId="63" r:id="rId63"/>
    <sheet name="Прил.12 нормативы на ээнергию" sheetId="64" r:id="rId64"/>
    <sheet name="Цены на жил. услуги до 01.03.14" sheetId="65" r:id="rId65"/>
    <sheet name="Цены на жил. услуг с 01.03.14" sheetId="66" r:id="rId66"/>
  </sheets>
  <definedNames>
    <definedName name="_xlnm.Print_Area" localSheetId="4">'Бухгалтерский баланс'!$A$1:$K$184</definedName>
    <definedName name="_xlnm.Print_Area" localSheetId="12">'Зар.1'!$B$1:$O$18</definedName>
    <definedName name="_xlnm.Print_Area" localSheetId="18">'Зар.12'!$B$1:$O$18</definedName>
    <definedName name="_xlnm.Print_Area" localSheetId="19">'Зар.13'!$B$1:$O$18</definedName>
    <definedName name="_xlnm.Print_Area" localSheetId="20">'Зар.14'!$B$1:$O$18</definedName>
    <definedName name="_xlnm.Print_Area" localSheetId="31">'Зар.16'!$B$1:$O$18</definedName>
    <definedName name="_xlnm.Print_Area" localSheetId="32">'Зар.18'!$B$1:$O$18</definedName>
    <definedName name="_xlnm.Print_Area" localSheetId="21">'Зар.19'!$B$1:$O$18</definedName>
    <definedName name="_xlnm.Print_Area" localSheetId="13">'Зар.2'!$B$1:$O$18</definedName>
    <definedName name="_xlnm.Print_Area" localSheetId="33">'Зар.20'!$B$1:$O$18</definedName>
    <definedName name="_xlnm.Print_Area" localSheetId="22">'Зар.21'!$B$1:$O$18</definedName>
    <definedName name="_xlnm.Print_Area" localSheetId="34">'Зар.22'!$B$1:$O$18</definedName>
    <definedName name="_xlnm.Print_Area" localSheetId="23">'Зар.23'!$B$1:$O$18</definedName>
    <definedName name="_xlnm.Print_Area" localSheetId="35">'Зар.25'!$B$1:$O$18</definedName>
    <definedName name="_xlnm.Print_Area" localSheetId="36">'Зар.26'!$B$1:$O$18</definedName>
    <definedName name="_xlnm.Print_Area" localSheetId="37">'Зар.27'!$B$1:$O$18</definedName>
    <definedName name="_xlnm.Print_Area" localSheetId="38">'Зар.28'!$B$1:$O$18</definedName>
    <definedName name="_xlnm.Print_Area" localSheetId="39">'Зар.29'!$B$1:$O$18</definedName>
    <definedName name="_xlnm.Print_Area" localSheetId="40">'Зар.30'!$B$1:$O$18</definedName>
    <definedName name="_xlnm.Print_Area" localSheetId="41">'Зар.31'!$B$1:$O$18</definedName>
    <definedName name="_xlnm.Print_Area" localSheetId="42">'Зар.32'!$B$1:$O$18</definedName>
    <definedName name="_xlnm.Print_Area" localSheetId="43">'Зар.33'!$B$1:$O$18</definedName>
    <definedName name="_xlnm.Print_Area" localSheetId="44">'Зар.34'!$B$1:$O$18</definedName>
    <definedName name="_xlnm.Print_Area" localSheetId="45">'Зар.35'!$B$1:$O$18</definedName>
    <definedName name="_xlnm.Print_Area" localSheetId="46">'Зар.36'!$B$1:$O$18</definedName>
    <definedName name="_xlnm.Print_Area" localSheetId="47">'Зар.38'!$B$1:$O$18</definedName>
    <definedName name="_xlnm.Print_Area" localSheetId="48">'Зар.40'!$B$1:$O$18</definedName>
    <definedName name="_xlnm.Print_Area" localSheetId="49">'Зар.41'!$B$1:$O$18</definedName>
    <definedName name="_xlnm.Print_Area" localSheetId="50">'Зар.42'!$B$1:$O$18</definedName>
    <definedName name="_xlnm.Print_Area" localSheetId="51">'Зар.44'!$B$1:$O$18</definedName>
    <definedName name="_xlnm.Print_Area" localSheetId="52">'Зар.46'!$B$1:$O$18</definedName>
    <definedName name="_xlnm.Print_Area" localSheetId="53">'Зар.48'!$B$1:$O$18</definedName>
    <definedName name="_xlnm.Print_Area" localSheetId="14">'Зар.5'!$B$1:$O$18</definedName>
    <definedName name="_xlnm.Print_Area" localSheetId="54">'Зар.50'!$B$1:$O$18</definedName>
    <definedName name="_xlnm.Print_Area" localSheetId="55">'Зар.52'!$B$1:$O$18</definedName>
    <definedName name="_xlnm.Print_Area" localSheetId="56">'Зар.54'!$B$1:$O$18</definedName>
    <definedName name="_xlnm.Print_Area" localSheetId="57">'Зар.56'!$B$1:$O$18</definedName>
    <definedName name="_xlnm.Print_Area" localSheetId="58">'Зар.58'!$B$1:$O$18</definedName>
    <definedName name="_xlnm.Print_Area" localSheetId="15">'Зар.6'!$B$1:$O$18</definedName>
    <definedName name="_xlnm.Print_Area" localSheetId="16">'Зар.7'!$B$1:$O$18</definedName>
    <definedName name="_xlnm.Print_Area" localSheetId="17">'Зар.8'!$B$1:$O$18</definedName>
    <definedName name="_xlnm.Print_Area" localSheetId="0">'Общая информация'!$A$1:$K$8</definedName>
    <definedName name="_xlnm.Print_Area" localSheetId="6">'Отчет о прибылях и убытках'!$A$1:$N$184</definedName>
    <definedName name="_xlnm.Print_Area" localSheetId="1">'Перечень МКД'!$A$1:$G$59</definedName>
    <definedName name="_xlnm.Print_Area" localSheetId="7">'Перечень услуг'!$B$1:$E$112</definedName>
    <definedName name="_xlnm.Print_Area" localSheetId="63">'Прил.12 нормативы на ээнергию'!$F$1:$N$17</definedName>
    <definedName name="_xlnm.Print_Area" localSheetId="8">'Проект договора управления'!$A$1:$B$4</definedName>
    <definedName name="_xlnm.Print_Area" localSheetId="3">'Сведения о членстве в СРО'!$A$1:$J$8</definedName>
    <definedName name="_xlnm.Print_Area" localSheetId="5">'справка'!$A$1:$K$164</definedName>
    <definedName name="_xlnm.Print_Area" localSheetId="24">'Ц.1'!$B$1:$O$18</definedName>
    <definedName name="_xlnm.Print_Area" localSheetId="59">'Ц.10'!$B$1:$O$18</definedName>
    <definedName name="_xlnm.Print_Area" localSheetId="60">'Ц.12'!$B$1:$O$18</definedName>
    <definedName name="_xlnm.Print_Area" localSheetId="61">'Ц.14'!$B$1:$O$18</definedName>
    <definedName name="_xlnm.Print_Area" localSheetId="28">'Ц.21'!$B$1:$O$18</definedName>
    <definedName name="_xlnm.Print_Area" localSheetId="29">'Ц.23'!$B$1:$O$18</definedName>
    <definedName name="_xlnm.Print_Area" localSheetId="30">'Ц.25'!$B$1:$O$18</definedName>
    <definedName name="_xlnm.Print_Area" localSheetId="25">'Ц.3'!$B$1:$O$18</definedName>
    <definedName name="_xlnm.Print_Area" localSheetId="26">'Ц.6'!$B$1:$O$18</definedName>
    <definedName name="_xlnm.Print_Area" localSheetId="27">'Ц.7'!$B$1:$O$18</definedName>
    <definedName name="_xlnm.Print_Area" localSheetId="65">'Цены на жил. услуг с 01.03.14'!$B$1:$Y$63</definedName>
    <definedName name="_xlnm.Print_Area" localSheetId="64">'Цены на жил. услуги до 01.03.14'!$B$1:$Y$63</definedName>
  </definedNames>
  <calcPr fullCalcOnLoad="1"/>
</workbook>
</file>

<file path=xl/sharedStrings.xml><?xml version="1.0" encoding="utf-8"?>
<sst xmlns="http://schemas.openxmlformats.org/spreadsheetml/2006/main" count="5564" uniqueCount="1196">
  <si>
    <t xml:space="preserve">Программа энергосбережения и повышения энергоэффективности.                           Программа в области энергосбережения и повышения энергетической эффективности должна содержать:
1. Для управляющих организаций.                                                                                                              1.1. Перечень мероприятий по энергосбережению и повышению энергетической эффективности в отношении каждого многоквартирного дома на 2011 и 2012 г.г.                         1.2. Индикаторы расчета целевых показателей с n2 по n10, n17, n18, с n51 по n72 приложения № 2 к методике расчета значений целевых показателей в области энергосбережения и повышения энергетической эффективности, в том числе в сопоставимых условиях, утвержденной приказом Министерства регионального развития РФ от 07.06.2010 № 273 за отчетный 2012год и планируемый 2013 год.                                                                                                1.3. Прогнозируемая стоимость мероприятий энергосбережения и повышения энергетической эффективности  (тыс. руб.), эффект от внедряемых мероприятий в натуральных показателях (Гкал, кВт/ч, м. куб)                                                                                  
                                                                                                     </t>
  </si>
  <si>
    <t xml:space="preserve">Серия, тип постройки - серия I-447 С.  Год  постройки - 1960. Количество этажей - 5. Наличие подвала - нет. Наличие цокольного этажа - нет. Наличие мансарды - нет.Наличие мезонина - нет. Строительный объем - 12356 куб. м. Площадь помещений общего пользования:    л/клетки - 239,1 кв.м, в том числе консервация - 60,6 кв.м, итого - 178,5  кв.м.  Количество лестниц - 4 с уб. площадью  263 кв.м. , в том числе консервация - 66,7 кв.м, итого 196,3 кв. м. Уборочная площадь общих коридоров - нет. Площадь крыши - 1103 кв.м. Площадь земельного участка, входящего в состав общего имущества МКД - 2042 кв. м. Площадь придомовой территории:  тротуаты - 223 кв. м,  газоны - 510 кв.м, дворовые территории 402 кв.м,  всего - 1135 кв.м.   </t>
  </si>
  <si>
    <t xml:space="preserve">Фундаменты (ж/б) - удовлетворительное.  Наружные и внутренние капитальные стены (кирпичные) - удовлетворительное.  Перегородки 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(стропила деревянные, металлочерепица) - хорошее.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удовлетворительное.Крыльца (бетонное основание) - удовлетворительное.   </t>
  </si>
  <si>
    <t xml:space="preserve">Серия, тип постройки - 4570 - 73/75. Год  постройки - 1986. Количество этажей - 5. Наличие подвала - есть. Наличие цокольного этажа - нет. Наличие мансарды - нет.Наличие мезонина - нет. Строительный объем - 7786 куб. м. Площадь помещений общего пользования: т/центр, бойлерная - 33,7 кв.м, л/клетки - 237 кв.м,  всего - 270,7 кв.м.  Количество лестниц - 3 с уб. площадь 260,7 кв.м. Уборочная площадь общих коридоров - нет. Площадь крыши - 616 кв.м. Площадь земельного участка, входящего в состав общего имущества МКД - 1871 кв. м. Площадь придомовой территории: территория за домами, периодически убираемая - 152 кв.м, тротуаты - 127 кв. м,  газоны - 240 кв.м, дворовые территории - 543 кв.м, всего 1062 кв.м.   </t>
  </si>
  <si>
    <t xml:space="preserve">План работ на срок не менее 1 года по содержанию и ремонту общего имущества многоквартирного дома с указанием стоимости работ (тыс. руб.), мер по снижению расходов на работы (услуги), выполняемые (оказываемые) управляющей организацией, с указанием периодичности и сроков осуществления таких работ (услуг), а также сведения об их выполнении (оказании) и о причинах отклонения от плана </t>
  </si>
  <si>
    <t>Общая площадь, (кв. метр)</t>
  </si>
  <si>
    <t xml:space="preserve"> Общая площадь, (кв. метр)</t>
  </si>
  <si>
    <t>Установленный тариф руб/кв. метр</t>
  </si>
  <si>
    <t>184372; Мурманская область, ЗАТО Видяево, ул. Заречная, д. 15, (815-53) 5-61-40; 5-61-77; 5-61-67;    5-61-68; 5-61-89; 5-62-45; email: umsvid@mail.ru</t>
  </si>
  <si>
    <t>понедельник - пятница с 08:30 до 17:00                     (обед с 12:30 до 14:00)</t>
  </si>
  <si>
    <t>ЗАТО Видяево</t>
  </si>
  <si>
    <t>Заречная, 1</t>
  </si>
  <si>
    <t>Заречная, 2</t>
  </si>
  <si>
    <t>Заречная, 5</t>
  </si>
  <si>
    <t>Заречная, 6</t>
  </si>
  <si>
    <t>Заречная, 7</t>
  </si>
  <si>
    <t>Заречная, 8</t>
  </si>
  <si>
    <t>Заречная, 12</t>
  </si>
  <si>
    <t>Заречная, 13</t>
  </si>
  <si>
    <t>Заречная, 14</t>
  </si>
  <si>
    <t>Заречная, 16</t>
  </si>
  <si>
    <t>Заречная, 18</t>
  </si>
  <si>
    <t>Заречная, 19</t>
  </si>
  <si>
    <t>Заречная, 20</t>
  </si>
  <si>
    <t>Заречная, 21</t>
  </si>
  <si>
    <t>Заречная, 22</t>
  </si>
  <si>
    <t>Заречная, 23</t>
  </si>
  <si>
    <t>Заречная, 25</t>
  </si>
  <si>
    <t>Заречная, 26</t>
  </si>
  <si>
    <t>Заречная, 27</t>
  </si>
  <si>
    <t>Заречная, 28</t>
  </si>
  <si>
    <t>Заречная, 29</t>
  </si>
  <si>
    <t>Заречная, 30</t>
  </si>
  <si>
    <t>Заречная, 31</t>
  </si>
  <si>
    <t>Заречная, 32</t>
  </si>
  <si>
    <t>Заречная, 33</t>
  </si>
  <si>
    <t>Заречная, 34</t>
  </si>
  <si>
    <t>Заречная, 35</t>
  </si>
  <si>
    <t xml:space="preserve">Серия, тип постройки - КПД 100.  Год  постройки - 1993. Количество этажей - 5. Наличие подвала - нет. Наличие цокольного этажа - нет. Наличие мансарды - нет.Наличие мезонина - нет. Строительный объем - 15379куб. м. Площадь помещений общего пользования:  л/клетки - 477,7 кв.м.  Количество лестниц - 4 с уб. площадью  325,9 кв.м. Уборочная площадь общих коридоров - 181,4 кв.м.. Площадь крыши - 1200 кв.м. Площадь земельного участка, входящего в состав общего имущества МКД - 2968 кв. м. Площадь придомовой территории: территория за домом, периодически убираемая - 1898 кв.м,  тротуаты -238 кв. м,  газоны - 359 кв.м, дворовые территории - 277 кв. м, всего 2772 кв.м.   </t>
  </si>
  <si>
    <t>Информация о стоимости работ (услуг) управляющей организации по дому №56 ул. Заречная по Договору №46 управления многоквартирным домом от 31.05.2011</t>
  </si>
  <si>
    <t>1.</t>
  </si>
  <si>
    <t>Весь жилищный фонд ЗАТО Видяево является муниципальным, приватизированных квартир нет, договоры управления с собственниками жилых помещений отсутствуют.</t>
  </si>
  <si>
    <t>Привлечения Управляющей организации к административной ответственности за нарушениея в сфере управления МКД в предыдущем  календарном году отсутствуют.</t>
  </si>
  <si>
    <t>Информация о стоимости работ (услуг) управляющей организации по дому №12 ул. Заречная по Договору №7 управления многоквартирным домом от 31.05.2011</t>
  </si>
  <si>
    <t xml:space="preserve">Серия, тип постройки - 45-70. Год  постройки - 1980. Количество этажей - 5. Наличие подвала - есть.Наличие цокольного этажа - нет. Наличие мансарды - нет.Наличие мезонина - нет. Строительный объем - 12975куб. м. Площадь помещений общего пользования: теплоцентр - 30,4 кв.м, л/клетки - 494,2 кв.м, всего - 524,6 кв.м.  Количество лестниц - 5 с уб. площадью 543,6кв.м. Уборочная площадь общих коридоров - нет. Площадь крыши - 1028кв.м. Площадь земельного участка, входящего в состав общего имущества МКД - 2464 кв.м. Площадь придомовой территории: территория за домами, периодически убираемая - 940 кв. м, тротуаты - 167 кв. м, газоны - 241 кв.м, дворовые территории - 539 кв.м, всего 1887кв.м.   </t>
  </si>
  <si>
    <t xml:space="preserve">Фундаменты (ж/б) - удовлетворительное.  Наружные и внутренние капитальные стены (крупнопанельные сборной конструкции) - удовлетворительное.  Перегородки (гипсобетонные)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(чердак вентилируемый, мягкая из рулон. материалов, внутр. водосток)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удовлетворительное.Крыльца, отмостка  (ж/б) -удовлетворительное.   </t>
  </si>
  <si>
    <t>Информация о стоимости работ (услуг) управляющей организации по дому №58 ул. Заречная по Договору №47 управления многоквартирным домом от 31.05.2011</t>
  </si>
  <si>
    <t xml:space="preserve">Фундаменты (ж/б) - удовлетворительное.  Наружные и внутренние капитальные стены (кирпичные оштукатуренные) - хорошее.  Перегородки (кирпичные, деревянные )-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(профилированная листовая сталь) - хорошее.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- крыльца нет, бетонное основание -  удовлетворительное. </t>
  </si>
  <si>
    <t xml:space="preserve">Серия, тип постройки - серия №182 "Мобиль".  Год  постройки - 1993. Количество этажей - 5. Наличие подвала - есть. Наличие цокольного этажа - нет. Наличие мансарды - нет.Наличие мезонина - нет. Строительный объем - 13184куб. м. Площадь помещений общего пользования:  т/центр - 36,2 кв.м, л/клетки - 355,7 кв.м, всего - 391,9 кв.м.  Количество лестниц - 5 с уб. площадью  391,3 кв.м. Уборочная площадь общих коридоров - нет. Площадь крыши - 1009 кв.м. Площадь земельного участка, входящего в состав общего имущества МКД - 2107 кв. м. Площадь придомовой территории: территория за домом, периодически убираемая - 622 кв.м,  тротуаты -103 кв. м,  газоны - 467 кв.м, всего - 1192 кв.м.   </t>
  </si>
  <si>
    <t xml:space="preserve">Фундаменты (ж/б) - удовлетворительное.  Наружные и внутренние капитальные стены (крупнопанельные сборнофй конструкции) - удовлетворительное.  Перегородки (гипсолитовые)-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-  удовлетворительное. </t>
  </si>
  <si>
    <t>Информация о стоимости работ (услуг) управляющей организации по дому №14 ул. Заречная по Договору №9 управления многоквартирным домом от 31.05.2011</t>
  </si>
  <si>
    <t>Управление          многоквартирным домом</t>
  </si>
  <si>
    <t xml:space="preserve">Серия, тип постройки - индивидуальный. Год  постройки - 1958. Количество этажей - 4. Наличие подвала - нет. Наличие цокольного этажа - неть. Наличие мансарды - нет.Наличие мезонина - нет. Строительный объем - 9949 куб. м. Площадь помещений общего пользования:   л/клетки - 239,3 кв.м.  Количество лестниц - 4 с уб. площадью 263,2 кв.м. Уборочная площадь общих коридоров - нет. Площадь крыши - 987 кв.м. Площадь земельного участка, входящего в состав общего имущества МКД - 1665 кв.м. Площадь придомовой территории: территория за домами, периодически убираемая 129 кв.м, тротуаты - 220 кв. м,  газоны 144 кв.м, дворовые территории - 528 кв.м, всего 1021 кв.м.   </t>
  </si>
  <si>
    <t xml:space="preserve">Фундаменты (ж/б) - удовлетворительное.  Наружные и внутренние капитальные стены (кирпичные оштукатуренные) - хорошее.  Перегородки (кирпичные, деревянные )-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(профилированная листовая сталь) - хорошее.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Крыльца, отмостка - крыльца нет, бетонное основание -  удовлетворительное. </t>
  </si>
  <si>
    <t xml:space="preserve">Фундаменты (ж/б) - удовлетворительное.  Наружные и внутренние капитальные стены (крупнопанельные) - удовлетворительное.  Перегородки 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Отмостка (бетонная стяжка)  -  удовлетворительное.  </t>
  </si>
  <si>
    <t>Информация о стоимости работ (услуг) управляющей организации по дому №33 ул. Заречная по Договору №32 управления многоквартирным домом от 31.05.2011</t>
  </si>
  <si>
    <t>Содержание общего имущества  МКД  в соответствии с требованиями постановления Правительства РФ от 13.08.2006 № 491 "Об утверждении правил содержания общего имущества в многоквартирном доме и правил изменения  размера платы за содержание и ремонт 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продолжительность".</t>
  </si>
  <si>
    <t xml:space="preserve">Серия, тип постройки - 45-70. Год  постройки - 1983. Количество этажей - 5. Наличие подвала - есть. Наличие цокольного этажа - нет. Наличие мансарды - нет.Наличие мезонина - нет. Строительный объем - 7835 куб. м. Площадь помещений общего пользования: т/центр, бойлерная  - 33,1 кв.м, л/клетки - 290,5 кв.м, всего 323,6 кв.м.  Количество лестниц - 3 с уб. площадью  319,6 кв.м. Уборочная площадь общих коридоров - нет. Площадь крыши - 619 кв.м. Площадь земельного участка, входящего в состав общего имущества МКД - 1655 кв. м. Площадь придомовой территории: территория за домами, периодически убираемая 861 кв.м, тротуаты - 126 кв. м,  газоны - 89 кв.м, дворовые территории - 348 кв.м, всего 1424 кв.м.   </t>
  </si>
  <si>
    <t xml:space="preserve">Фундаменты (ж/б) - удовлетворительное.  Наружные и внутренние капитальные стены (крупнопанельные) - удовлетворительное.  Перегородки 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Крыльца - удовлетворительное.  Отмостка   -  удовлетворительное.  </t>
  </si>
  <si>
    <t>Информация о стоимости работ (услуг) управляющей организации по дому №34 ул. Заречная по Договору №33 управления многоквартирным домом от 31.05.2011</t>
  </si>
  <si>
    <t xml:space="preserve">Фундаменты (ж/б) - удовлетворительное.  Наружные и внутренние капитальные стены (крупнопанельные) - удовлетворительное.  Перегородки 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 -  удовлетворительное.  </t>
  </si>
  <si>
    <t>Информация о стоимости работ (услуг) управляющей организации по дому №29 ул. Заречная по Договору №28 управления многоквартирным домом от 31.05.2011</t>
  </si>
  <si>
    <t xml:space="preserve">Серия, тип постройки - 4570. Год  постройки - 1983. Количество этажей - 5. Наличие подвала - есть. Наличие цокольного этажа - нет. Наличие мансарды - нет.Наличие мезонина - нет. Строительный объем - 12947куб. м. Площадь помещений общего пользования: т/центр, бойлерная - 32,1 кв.м, л/клетки - 480,2 кв.м,  всего - 512,3 кв.м.  Количество лестниц - 5 с уб. площадь 528,2 кв.м. Уборочная площадь общих коридоров - нет. Площадь крыши - 1029 кв.м. Площадь земельного участка, входящего в состав общего имущества МКД - 2870 кв. м. Площадь придомовой территории:  тротуаты - 205 кв. м,  газоны - 343 кв.м, дворовые территории - 589 кв.м, всего 1137 кв.м.   </t>
  </si>
  <si>
    <t xml:space="preserve">Фундаменты (ж/б) - удовлетворительное.  Наружные и внутренние капитальные стены (крупнопанельные облицованы плиткой) - удовлетворительное.  Перегородки 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 -  удовлетворительное.  </t>
  </si>
  <si>
    <t>Информация о стоимости работ (услуг) управляющей организации по дому №30 ул. Заречная по Договору №29 управления многоквартирным домом от 31.05.2011</t>
  </si>
  <si>
    <t xml:space="preserve">Серия, тип постройки - 45-70. Год  постройки - 1983. Количество этажей - 5. Наличие подвала - есть. Наличие цокольного этажа - нет. Наличие мансарды - нет.Наличие мезонина - нет. Строительный объем - 7797 куб. м. Площадь помещений общего пользования: т/центр, бойлерная  - 33,0 кв.м, л/клетки - 290,6 кв.м, всего 323,6 кв.м.  Количество лестниц - 3 с уб. площадью  319,7 кв.м. Уборочная площадь общих коридоров - нет. Площадь крыши - 617 кв.м. Площадь земельного участка, входящего в состав общего имущества МКД - 2289 кв. м. Площадь придомовой территории: территория за домами, периодически убираемая 328 кв.м, тротуаты - 274 кв. м,  газоны - 290 кв.м, дворовые территориии - 90 кв.м, всего 982 кв.м.   </t>
  </si>
  <si>
    <t xml:space="preserve">Фундаменты (ж/б) - удовлетворительное.  Наружные и внутренние капитальные стены (крупнопанельные) - удовлетворительное.  Перегородки 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Крыльца (ж/б) - удовлетворительное.   Отмостка  (цементная стяжка)   -  удовлетворительное.  </t>
  </si>
  <si>
    <t>Информация о стоимости работ (услуг) управляющей организации по дому №36 ул. Заречная по Договору №35 управления многоквартирным домом от 31.05.2011</t>
  </si>
  <si>
    <t>Фундаменты (ж/б) - удовлетворительное.  Наружные и внутренние капитальные стены (крупнопанельные) - удовлетворительное.  Перегородки 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 -  удовлетворительное.  Отмостка (целентная стяжка) - удовлетворительное.</t>
  </si>
  <si>
    <t>Информация о стоимости работ (услуг) управляющей организации по дому №31 ул. Заречная по Договору №30 управления многоквартирным домом от 31.05.2011</t>
  </si>
  <si>
    <t xml:space="preserve">Фундаменты (ж/б) - удовлетворительное.  Наружные и внутренние капитальные стены (крупнопанельные) - удовлетворительное.  Перегородки (гипсобетонные)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Крыльца, отмостка  (ж/б)   -  удовлетворительное.  </t>
  </si>
  <si>
    <t>Информация о стоимости работ (услуг) управляющей организации по дому №40 ул. Заречная по Договору №37 управления многоквартирным домом от 31.05.2011</t>
  </si>
  <si>
    <t xml:space="preserve">Фундаменты (ж/б) - удовлетворительное.  Наружные и внутренние капитальные стены (кирпичные) - удовлетворительное.  Перегородки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</t>
  </si>
  <si>
    <t>Информация о стоимости работ (услуг) управляющей организации по дому №41 ул. Заречная по Договору №38 управления многоквартирным домом от 31.05.2011</t>
  </si>
  <si>
    <t xml:space="preserve">Фундаменты (ж/б) - удовлетворительное.  Наружные и внутренние капитальные стены (крупнопанельные облицованные плиткой) - удовлетворительное.  Перегородки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Крыльца, отмостка   -  удовлетворительное. </t>
  </si>
  <si>
    <t>Информация о стоимости работ (услуг) управляющей организации по дому №21 ул. Центральная по Договору №17 управления многоквартирным домом от 31.05.2011</t>
  </si>
  <si>
    <t xml:space="preserve">Серия, тип постройки - I - 464 А. Год  постройки - 1970. Количество этажей - 5. Наличие подвала - есть. Наличие цокольного этажа - неть. Наличие мансарды - нет.Наличие мезонина - нет. Строительный объем - 11474 куб. м. Площадь помещений общего пользования:т/центр -59,7 кв.м, л/клетки - 343 кв.м.  Количество лестниц - 5 с уб. площадью 377,0 кв.м. Уборочная площадь общих коридоров - нет. Площадь крыши - 903 кв.м. Площадь земельного участка, входящего в состав общего имущества МКД - 2555 кв.м. Площадь придомовой территории: территория за домами, периодически убираемая 1195 кв.м, тротуаты - 181 кв. м,  газоны 290 кв.м, дворовые территории - 870 кв.м, всего 2536 кв.м.   </t>
  </si>
  <si>
    <t xml:space="preserve">Серия, тип постройки - 45-70. Год  постройки - 1987. Количество этажей - 5. Наличие подвала - есть. Наличие цокольного этажа - нет. Наличие мансарды - нет.Наличие мезонина - нет. Строительный объем - 12981 куб. м. Площадь помещений общего пользования: т/центр, бойлерная  - 47,9 кв.м, л/клетки - 487,8 кв.м, всего 535,7 кв.м.  Количество лестниц - 5 с уб. площадью  536,6 кв.м. Уборочная площадь общих коридоров - нет. Площадь крыши - 1027 кв.м. Площадь земельного участка, входящего в состав общего имущества МКД - 2289 кв. м. Площадь придомовой территории: территория за домами, периодически убираемая 1027 кв.м, тротуаты - 155 кв. м,  газоны - 562 кв.м, всего 1744 кв.м.   </t>
  </si>
  <si>
    <t xml:space="preserve">Фундаменты (ж/б) - удовлетворительное.  Наружные и внутренние капитальные стены (железобетонные панели) - удовлетворительное.  Перегородки  (гипсобетонные)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Отмостка  (бетонное покрытие)  -  удовлетворительное.  </t>
  </si>
  <si>
    <t>Информация о стоимости работ (услуг) управляющей организации по дому №35 ул. Заречная по Договору №34 управления многоквартирным домом от 31.05.2011</t>
  </si>
  <si>
    <t xml:space="preserve">Серия, тип постройки - 45-70. Год  постройки - 1972. Количество этажей - 5. Наличие подвала - есть. Наличие цокольного этажа - нет. Наличие мансарды - нет.Наличие мезонина - нет. Строительный объем - 11974 куб. м. Площадь помещений общего пользования: л/клетки - 272,6 кв.м.  Количество лестниц - 4, в том числе на консервации 1, уб. площадь 300,3 кв.м., в том числе законсервированная 66,8 кв.м, итого 233,5 кв.м.  Уборочная площадь общих коридоров - нет. Площадь крыши - 970 кв.м. Площадь земельного участка, входящего в состав общего имущества МКД - 1838 кв.м. Площадь придомовой территории: территория за домами, периодически убираемая 617 кв.м, тротуаты - 120 кв. м,  газоны 114 кв.м, дворовые территории - 224 кв.м, всего 1075 кв.м.   </t>
  </si>
  <si>
    <t xml:space="preserve">Фундаменты (ж/б) - удовлетворительное.  Наружные и внутренние капитальные стены (кирпичные) - удовлетворительное.  Перегородки (кирпичные, гипсобетонные)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(бесчердачная,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(бетонные)  -  удовлетворительное. </t>
  </si>
  <si>
    <t>Информация о стоимости работ (услуг) управляющей организации по дому №25 ул. Центральная по Договору №19 управления многоквартирным домом от 31.05.2011</t>
  </si>
  <si>
    <t xml:space="preserve">Серия, тип постройки - 45-70. Год  постройки - 1988. Количество этажей - 5. Наличие подвала - есть. Наличие цокольного этажа - нет. Наличие мансарды - нет.Наличие мезонина - нет. Строительный объем - 12971 куб. м. Площадь помещений общего пользования: т/центр, бойлерная  - 48,7 кв.м, л/клетки - 489,3 кв.м, всего 538 кв.м.  Количество лестниц - 5 с уб. площадью  538,2 кв.м. Уборочная площадь общих коридоров - нет. Площадь крыши - 1027 кв.м. Площадь земельного участка, входящего в состав общего имущества МКД - 2277 кв. м. Площадь придомовой территории: территория за домами, периодически убираемая 1416 кв.м, тротуаты - 182 кв. м,  газоны - 399 кв.м, дворовые территориии - 60 кв.м, всего 2057 кв.м.   </t>
  </si>
  <si>
    <t xml:space="preserve">Фундаменты (ж/б) - удовлетворительное.  Наружные и внутренние капитальные стены (железобетонные панели) - удовлетворительное.  Перегородки (гипсобетонные)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Отмостка  (бетонное покрытие)   -  удовлетворительное.  </t>
  </si>
  <si>
    <t>Информация о стоимости работ (услуг) управляющей организации по дому №38 ул. Заречная по Договору №36 управления многоквартирным домом от 31.05.2011</t>
  </si>
  <si>
    <t xml:space="preserve">Серия, тип постройки - 4570-73/75. Год  постройки - 1985. Количество этажей - 5. Наличие подвала - есть. Наличие цокольного этажа - нет. Наличие мансарды - нет.Наличие мезонина - нет. Строительный объем - 13012  куб. м. Площадь помещений общего пользования: т/центр, бойлерная - 48,4 кв.м, л/клетки - 481,5 кв.м, всего 529,9 кв.м.  Количество лестниц - 5 с уб. площадь 529,7 кв.м. Уборочная площадь общих коридоров - нет. Площадь крыши - 1028 кв.м. Площадь земельного участка, входящего в состав общего имущества МКД - 2901 кв.м. Площадь придомовой территории: территория за домами, периодически убираемая 1224 кв.м, тротуаты - 250 кв. м,  газоны - 354 кв.м, дворовые территории - 443  кв.м, всего 2271 кв.м.   </t>
  </si>
  <si>
    <t xml:space="preserve">Фундаменты (ж/б) - удовлетворительное.  Наружные и внутренние капитальные стены (крупнопанельные) - удовлетворительное.  Перегородки 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(мягкая из рулонного материала)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 -  удовлетворительное. Отмостка  - удовлетворительное. </t>
  </si>
  <si>
    <t>Информация о стоимости работ (услуг) управляющей организации по дому №18 ул. Заречная по Договору №21 управления многоквартирным домом от 31.05.2011</t>
  </si>
  <si>
    <t xml:space="preserve">Степень износа на 01.01.2013 г. </t>
  </si>
  <si>
    <t>Мурманское  региональное отраслевое объединение работодателей  "Союз жилищно-коммунальных предприятий Мурманской области"</t>
  </si>
  <si>
    <t>183032, г. Мурманск, пр. Кольский, д.20, офис 6а</t>
  </si>
  <si>
    <t>183038, г. Мурманск, ул. С. Перовской, д.25/26</t>
  </si>
  <si>
    <t>Договор на оказание услуг  от 10.06.2004 №25</t>
  </si>
  <si>
    <t>ensavtec@yandex.ru</t>
  </si>
  <si>
    <t xml:space="preserve">Серия, тип постройки - 45-70.  Год  постройки - 1983. Количество этажей - 5. Наличие подвала - есть. Наличие цокольного этажа - нет. Наличие мансарды - нет.Наличие мезонина - нет. Строительный объем - 12959 куб. м. Площадь помещений общего пользования: т/центр, бойлерная  - 48 кв.м, л/клетки - 485,7 кв.м, всего 433,7 кв.м.  Количество лестниц - 5 с уб. площадью  534,3 кв.м. Уборочная площадь общих коридоров - нет. Площадь крыши - 1027 кв.м. Площадь земельного участка, входящего в состав общего имущества МКД - 2962 кв. м. Площадь придомовой территории: территория за домами, периодически убираемая 1808 кв.м, тротуаты - 258 кв. м,  газоны - 1108 кв.м, дворовые территории - 82 кв. м, всего 3256 кв.м.   </t>
  </si>
  <si>
    <t xml:space="preserve">Фундаменты (ж/б) - удовлетворительное.  Наружные и внутренние капитальные стены (крупнопанельные) - удовлетворительное.  Перегородки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удовлетворительное.Отмостка-удовлетворительное.   </t>
  </si>
  <si>
    <t>Информация о стоимости работ (услуг) управляющей организации по дому №42 ул. Заречная по Договору №39 управления многоквартирным домом от 31.05.2011</t>
  </si>
  <si>
    <t xml:space="preserve">Серия, тип постройки - 45-70.  Год  постройки - 1989. Количество этажей - 5. Наличие подвала - есть. Наличие цокольного этажа - нет. Наличие мансарды - нет.Наличие мезонина - нет. Строительный объем - 7914 куб. м. Площадь помещений общего пользования: т/центр, бойлерная  - 32,2 кв.м, л/клетки - 291,5 кв.м, пристройка - 10,4 кв.м, всего 334,1 кв.м.  Количество лестниц - 3 с уб. площадью  320,7 кв.м. Уборочная площадь общих коридоров - нет. Площадь крыши - 627 кв.м. Площадь земельного участка, входящего в состав общего имущества МКД - 2962 кв. м. Площадь придомовой территории: территория за домами, периодически убираемая 1222 кв.м, тротуаты - 135 кв. м,  газоны - 246 кв.м, дворовые территории - 45 кв. м, всего 1648 кв.м.   </t>
  </si>
  <si>
    <t xml:space="preserve">Фундаменты (ж/б) - удовлетворительное.  Наружные и внутренние капитальные стены (крупнопанельные) - удовлетворительное.  Перегородки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удовлетворительное.Крыльца -удовлетворительное.   </t>
  </si>
  <si>
    <t>Информация о стоимости работ (услуг) управляющей организации по дому №44 ул. Заречная по Договору №40 управления многоквартирным домом от 31.05.2011</t>
  </si>
  <si>
    <t xml:space="preserve">Серия, тип постройки - 4570-73/75. Год  постройки - 1986. Количество этажей - 5. Наличие подвала - есть. Наличие цокольного этажа - нет. Наличие мансарды - нет.Наличие мезонина - нет. Строительный объем - 12944куб. м. Площадь помещений общего пользования: т/центр, бойлерная - 49,8 кв.м, л/клетки - 482,3 кв.м,  всего - 532,1 кв.м.  Количество лестниц - 5 с уб. площадь 530,5 кв.м. Уборочная площадь общих коридоров - нет. Площадь крыши - 1025 кв.м. Площадь земельного участка, входящего в состав общего имущества МКД - 2556 кв. м. Площадь придомовой территории: территория за домами, периодически убираемая - 2043 кв.м, тротуаты - 200 кв. м,  газоны - 425 кв.м, дворовые территории - 106  кв.м, всего 2774 кв.м.   </t>
  </si>
  <si>
    <t xml:space="preserve">Фундаменты (ж/б) - удовлетворительное.  Наружные и внутренние капитальные стены (крупнопанельные) - удовлетворительное.  Перегородки 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 -  удовлетворительное. Отмостка (цементная стяжка) - удовлетворительное. </t>
  </si>
  <si>
    <t>Информация о стоимости работ (услуг) управляющей организации по дому №27 ул. Заречная по Договору №26 управления многоквартирным домом от 31.05.2011</t>
  </si>
  <si>
    <t xml:space="preserve">Серия, тип постройки - 45-70.  Год  постройки - 1990. Количество этажей - 5. Наличие подвала - есть. Наличие цокольного этажа - нет. Наличие мансарды - нет.Наличие мезонина - нет. Строительный объем - 7964 куб. м. Площадь помещений общего пользования: т/центр, бойлерная  - 33,0 кв.м, л/клетки - 241,7 кв.м, пристройка - 11,7 кв.м, всего 286,4 кв.м.  Количество лестниц - 3 с уб. площадью  265,9 кв.м. Уборочная площадь общих коридоров - нет. Площадь крыши - 630 кв.м. Площадь земельного участка, входящего в состав общего имущества МКД - 1365 кв. м. Площадь придомовой территории: территория за домами, периодически убираемая 846 кв.м, тротуаты - 62 кв. м,  газоны - 260 кв.м, дворовые территории - 57 кв. м, всего 1225 кв.м.   </t>
  </si>
  <si>
    <t>Информация о стоимости работ (услуг) управляющей организации по дому №48 ул. Заречная по Договору №42 управления многоквартирным домом от 31.05.2011</t>
  </si>
  <si>
    <t xml:space="preserve">Серия, тип постройки - серия 182 "Мобиль".  Год  постройки - 1992. Количество этажей - 5. Наличие подвала - есть. Наличие цокольного этажа - есть. Наличие мансарды - нет.Наличие мезонина - нет. Строительный объем - 18102 куб. м. Площадь помещений общего пользования: т/центр  - 29,4 кв.м, л/клетки - 445,1 кв.м, всего 474,5 кв.м.  Количество лестниц - 5 с уб. площадью  489,6 кв.м. Уборочная площадь общих коридоров - нет. Площадь крыши - 1267 кв.м. Площадь земельного участка, входящего в состав общего имущества МКД - 3014 кв. м. Площадь придомовой территории:  тротуаты -362 кв. м,  газоны - 776 кв.м, дворовые территории - 27 кв. м, всего 1165 кв.м.   </t>
  </si>
  <si>
    <t xml:space="preserve">Фундаменты (ж/б) - удовлетворительное.  Наружные и внутренние капитальные стены (крупнопанельные сборной конструкции) - удовлетворительное.  Перегородки (гипсобетонные)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(вент. чердак 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удовлетворительное.Крыльца, отмостка  (ж/б) -удовлетворительное.   </t>
  </si>
  <si>
    <t>Информация о стоимости работ (услуг) управляющей организации по дому №50 ул. Заречная по Договору №43 управления многоквартирным домом от 31.05.2011</t>
  </si>
  <si>
    <t xml:space="preserve">Серия, тип постройки - КПД 101.  Год  постройки - 1991. Количество этажей - 5. Наличие подвала - есть. Наличие цокольного этажа - есть. Наличие мансарды - нет.Наличие мезонина - нет. Строительный объем - 12330 куб. м. Площадь помещений общего пользования: т/центр, бойлерная   - 25,4 кв.м, л/клетки - 361,7 кв.м, всего 387,1 кв.м.  Количество лестниц - 3 с уб. площадью  242,8 кв.м. Уборочная площадь общих коридоров - 141,0 кв.м.. Площадь крыши - 948 кв.м. Площадь земельного участка, входящего в состав общего имущества МКД - 2248 кв. м. Площадь придомовой территории:  тротуаты -272 кв. м,  газоны - 102 кв.м, дворовые территории - 747 кв. м, всего 1121 кв.м.   </t>
  </si>
  <si>
    <t>вода питьевая</t>
  </si>
  <si>
    <t>ОАО "Водоканал"</t>
  </si>
  <si>
    <t>МУПП ЖКХ ЗАТО Видяево</t>
  </si>
  <si>
    <t>ООО "Севгаз"</t>
  </si>
  <si>
    <t>электрическая энергия</t>
  </si>
  <si>
    <t>ОАО "Колэнергосбыт"</t>
  </si>
  <si>
    <t>Выдавать по требованию Собственника, пользователей жилыми помещениями в МКД в день обращения справки установленного образца, выписки из финансового лицевого счета и (или) из домовой книги и иные предусмотренные действующим законодательством документы.</t>
  </si>
  <si>
    <t xml:space="preserve">По требованию Собственника, пользователей жилыми помещениями в МКД  производить сверку платы за жилое помещениеи коммунальные услуги, а также выдача документов, подтверждающих правильность начисления  платы с учетом соответствия их качества обязательным требованиям, установленным законодательством, а также с учетом правильности начисления установленных федеральным законом или договором неустоек (штрафов, пеней). </t>
  </si>
  <si>
    <t>Предоставлять Собственнику ежегодно  в течение первого квартала текущего года  отчет о выполнении Договоров управления МКД.</t>
  </si>
  <si>
    <t xml:space="preserve">Серия, тип постройки - 4570. Год  постройки - 1978. Количество этажей - 5. Наличие подвала - есть.Наличие цокольного этажа - есть. Наличие мансарды - нет.Наличие мезонина - нет. Строительный объем - 8709 куб. м. Площадь помещений общего пользования: теплоцентр - 31,5 кв.м, л/клетки - 301,6кв.м, всего - 333,1 кв.м.  Количество лестниц - 3 с уб. площадью 331,8 кв.м. Уборочная площадь общих коридоров - нет. Площадь крыши - 619кв.м. Площадь земельного участка, входящего в состав общего имущества МКД - 1974 кв.м. Площадь придомовой территории: тротуаты - 56 кв. м, газоны - 561 кв.м, дворовые территории 527 кв.м, всего 1144 кв.м.   </t>
  </si>
  <si>
    <t xml:space="preserve">Фундаменты (ж/б) - удовлетворительное.  Наружные и внутренние капитальные стены (крупнопанельные сборной конструкции) - удовлетворительное.  Перегородки (гипсолитовые)-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Крыльца(ж/б) - наличие выбоин. Отмостка (цементная стяжка) - удовлетворительное. </t>
  </si>
  <si>
    <t>Информация о стоимости работ (услуг) управляющей организации по дому №7 ул. Заречная по Договору №5 управления многоквартирным домом от 31.05.2011</t>
  </si>
  <si>
    <t>В соответствии с  утвержденными Перечнями обязательных и дополнительных работ и  услуг по содержанию и ремонту  общего имущества в МКД</t>
  </si>
  <si>
    <t xml:space="preserve">Серия, тип постройки - 4570 -73/75. Год  постройки - 1981. Количество этажей - 5. Наличие подвала - есть.Наличие цокольного этажа - есть. Наличие мансарды - нет.Наличие мезонина - нет. Строительный объем - 8306 куб. м. Площадь помещений общего пользования: теплоцентр - 27 кв.м, л/клетки - 291,6 кв.м, всего - 322,7 кв.м.  Количество лестниц - 3 с уб. площадью 320,8 кв.м. Уборочная площадь общих коридоров - нет. Площадь крыши - 621кв.м. Площадь земельного участка, входящего в состав общего имущества МКД - 2115 кв.м. Площадь придомовой территории: тротуаты - 32 кв. м, газоны - 171 кв.м, дворовые территории 627 кв.м, всего 830 кв.м.   </t>
  </si>
  <si>
    <t xml:space="preserve">Фундаменты (ж/б) - удовлетворительное.  Наружные и внутренние капитальные стены (крупнопанельные облицованы плиткой), МПШ  - удовлетворительное.  Перегородки (ж/б)-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Т/подвал - нет освещения. Крыльца(ж/б) -  удовлетворительное. </t>
  </si>
  <si>
    <t>Внесение  предлрожений Собственнику о необходимости капитального ремонта общего имущества МКД, в том числе  о сроке начала капитального ремонта, необходимом оьбъеме работ, стоимости материалов, порядке финансирования, сроках возмещения расходов и других предложений, связанных с условиями проведения капитального ремонта.</t>
  </si>
  <si>
    <t>Представлять Собственнику по запросу в течение 3-х дней документы,  связанные с выполнением обязательств по Договорам управления МКД.</t>
  </si>
  <si>
    <t xml:space="preserve">Проведение комиссионного обследования помещений  по решению Собственника, на основании заявки Собственника, пользователей помещениями,  участие в составлении актов нанесения ущербов общему имуществу в МКД.   </t>
  </si>
  <si>
    <t>Осуществление технического надзора за состоянием  строительных конструкций, безопасной эксплуатацией инженерных систем и устройств.</t>
  </si>
  <si>
    <t>В случае выявления несанкционированной  перепланировки или переоборудоваения в помещении организация работы по восстановлению конструкций и коммуникаций в первоначальное  состояние за счет  средств пользователей помещениями МКД.</t>
  </si>
  <si>
    <t>Планирование работы по текущему и капитальному ремонту  общего имущества МКД с учетом их технического состояния и фактического объема  финансирования.</t>
  </si>
  <si>
    <t>Использование полученных бюджетных средств и платежи пользователей  строго по  целевому назначению.</t>
  </si>
  <si>
    <t>Обеспечение  гарантийных  обязательств  при выполнении работ по текущему  ремонту не менее 1 года, при выполнении  по капитальному ремонту - не менее 2-х лет.</t>
  </si>
  <si>
    <t>Фирменное наименование юридического лица, фамилия, имя и отчество руководителя управляющей организации или фамилия, имя и отчество индивидуального предпринимателя</t>
  </si>
  <si>
    <t>Реквизиты свидетельства о государственной регистрации в качестве юридического лица или индивидуального предпринимателя (основной государственный регистрационный номер, дата его присвоения и наименование органа, принявшего решение о регистрации)</t>
  </si>
  <si>
    <t>Почтовый адрес, адрес фактического местонахождения органов управления управляющей организации, контактные телефоны, а также (при наличии) официальный сайт в сети Интернет и адрес электронной почты</t>
  </si>
  <si>
    <t>Режим работы управляющей организации, в том числе часы личного приема граждан сотрудниками управляющей организации и работы диспетчерских служб</t>
  </si>
  <si>
    <t>Перечень многоквартирных домов, находящихся в управлении управляющей организации на основе договора управления, с указанием адресов этих домов и общей площади помещений в них</t>
  </si>
  <si>
    <t>№ п/п</t>
  </si>
  <si>
    <t>Перечень многоквартирных домов, в отношении которых договоры управления были расторгнуты в предыдущем календарном году, с указанием адресов этих домов и оснований расторжения договоров управления</t>
  </si>
  <si>
    <t>Основание расторжения договора</t>
  </si>
  <si>
    <t>Сведения о членстве управляющей организации в саморегулируемой организации и (или) других объединениях управляющих организаций с указанием их наименований и адресов, включая официальный сайт в сети Интернет</t>
  </si>
  <si>
    <t>Доходы будущих периодов</t>
  </si>
  <si>
    <t>Прочие доходы</t>
  </si>
  <si>
    <t>Прочие расходы</t>
  </si>
  <si>
    <t>Сведения о количестве случаев снижения платы за нарушения качества содержания и ремонта общего имущества в многоквартирном доме за последний календарный год</t>
  </si>
  <si>
    <t>Сведения о количестве случаев снижения платы за нарушения качества коммунальных услуг и (или) за превышение установленной продолжительности перерывов в их оказании за последний календарный год</t>
  </si>
  <si>
    <t>Сведения о соответствии качества оказанных услуг государственным и иным стандартам (при наличии таких стандартов)</t>
  </si>
  <si>
    <t>Орган, применивший меры административного воздействия к управляющей организации</t>
  </si>
  <si>
    <t>Меры, принятые для устранения нарушений, повлекших за собой применение административных санкций</t>
  </si>
  <si>
    <t>Содержание аварийно-диспечерской службы</t>
  </si>
  <si>
    <t>Дератизация и дезинсекция</t>
  </si>
  <si>
    <t>Текущий ремонт конструктивных элементов жилых зданий</t>
  </si>
  <si>
    <t>Текущий ремонт и обслуживание электрических сетей</t>
  </si>
  <si>
    <t>Текущий ремонт и обслуживание газовых сетей</t>
  </si>
  <si>
    <t>Обслуживание и уборка мусоропроводов</t>
  </si>
  <si>
    <t>Содержание и ремонт лифтов</t>
  </si>
  <si>
    <t>Дата, с которой установлена плата</t>
  </si>
  <si>
    <t xml:space="preserve"> Общая информация об управляющей организации  </t>
  </si>
  <si>
    <t>Уборка придомовой территории, подъездов, лестничных клеток</t>
  </si>
  <si>
    <t>Текущий ремонт и обслуживание  сетей отопления</t>
  </si>
  <si>
    <t>Текущий ремонт и обслуживание сетей  канализации</t>
  </si>
  <si>
    <t>Руководитель</t>
  </si>
  <si>
    <t>Наименование муниципального образования</t>
  </si>
  <si>
    <t>Наименование улицы и номер дома</t>
  </si>
  <si>
    <t>Реквизиты заключенного договора управления</t>
  </si>
  <si>
    <t>Дата заключенного договора управления</t>
  </si>
  <si>
    <t>Дата расторжения договора управления</t>
  </si>
  <si>
    <t>Наименование саморегулируемой организации и (или) другие объединения в которых состоит управляющая организация</t>
  </si>
  <si>
    <t>Юридический адрес саморегулируемой организации и (или) другого объединения в которых состоит управляющая организация</t>
  </si>
  <si>
    <t>Фактический адрес саморегулируемой организации и (или) другого объединения в которых состоит управляющая организация</t>
  </si>
  <si>
    <t>Реквизиты свидетельства о членстве управляющей организации в саморегулируемой организации и (или) других объединениях управляющих организаций</t>
  </si>
  <si>
    <t>Официальный сайт саморегулируемой организации и (или) другого объединения в сети Интернет</t>
  </si>
  <si>
    <t>Перечень услуг предоставляемых управляющей организацией</t>
  </si>
  <si>
    <t>1. Проект договора управления, заключаемого с собственниками помещений в многоквартирных домах, товариществами собственников жилья, жилищными, жилищно-строительными или иными специализированными потребительскими кооперативами, который должен содержать все существенные условия договора управления представляется в форме документа Microsoft Word (.docx)</t>
  </si>
  <si>
    <t>Наименование обязательства по договору управления</t>
  </si>
  <si>
    <t>Форма предоставления информации</t>
  </si>
  <si>
    <t xml:space="preserve"> Сведения о выполнении обязательств по договорам управления в отношении каждого многоквартирного дома
</t>
  </si>
  <si>
    <t xml:space="preserve">В случае привлечения управляющей организации в предыдущем календарном году к административной ответственности за нарушения в сфере управления многоквартирными домами </t>
  </si>
  <si>
    <t xml:space="preserve">Серия, тип постройки - 45-70. Год  постройки - 1980. Количество этажей - 5. Наличие подвала - есть.Наличие цокольного этажа - нет. Наличие мансарды - нет.Наличие мезонина - нет. Строительный объем - 7895 куб. м. Площадь помещений общего пользования: теплоцентр - 45,2 кв.м, л/клетки - 304,5 кв.м, всего - 349,7 кв.м.  Количество лестниц - 3 с уб. площадью 335 кв.м. Уборочная площадь общих коридоров - нет. Площадь крыши - 619кв.м. Площадь земельного участка, входящего в состав общего имущества МКД - 1797 кв.м. Площадь придомовой территории: территория за домами, периодически убираемая - 1000 кв. м, тротуаты - 83 кв. м, газоны - 246 кв.м, дворовые территории - 631 кв.м, всего 1960кв.м.   </t>
  </si>
  <si>
    <t>Информация о стоимости работ (услуг) управляющей организации по дому №19 ул. Заречная по Договору №10 управления многоквартирным домом от 31.05.2011</t>
  </si>
  <si>
    <t xml:space="preserve">Серия, тип постройки - серия I-447 С.  Год  постройки - 1959. Количество этажей - 5. Наличие подвала - нет. Наличие цокольного этажа - нет. Наличие мансарды - нет.Наличие мезонина - нет. Строительный объем - 6711 куб. м. Площадь помещений общего пользования:  т/центр, бойлерная - 31,1 кв.м, л/клетки - 121,1 кв.м, всего - 152,2 кв.м.  Количество лестниц - 2 с уб. площадью  133,2 кв.м. Уборочная площадь общих коридоров - нет. Площадь крыши - 561 кв.м. Площадь земельного участка, входящего в состав общего имущества МКД - 1256 кв. м. Площадь придомовой территории:  тротуаты - 122 кв. м,  газоны -683 кв.м,  всего - 805 кв.м.   </t>
  </si>
  <si>
    <t xml:space="preserve">Серия, тип постройки - 45-70. Год  постройки - 1979. Количество этажей - 5. Наличие подвала - есть.Наличие цокольного этажа - есть. Наличие мансарды - нет.Наличие мезонина - нет. Строительный объем - 8268 куб. м. Площадь помещений общего пользования: теплоцентр, лл/щит. - 16,7 кв.м, л/клетки - 305,3кв.м, всего - 322,0 кв.м.  Количество лестниц - 3 с уб. площадью 335,8 кв.м. Уборочная площадь общих коридоров - нет. Площадь крыши - 617кв.м. Площадь земельного участка, входящего в состав общего имущества МКД - 1006 кв.м. Площадь придомовой территории: территория за домами, периодически убираемая - 279 кв. м, тротуаты - 64 кв. м, газоны - 66 кв.м, дворовые территории - 203 кв.м, всего 612 кв.м.   </t>
  </si>
  <si>
    <t>Информация о стоимости работ (услуг) управляющей организации по дому №21 ул. Заречная по Договору №11 управления многоквартирным домом от 31.05.2011</t>
  </si>
  <si>
    <t xml:space="preserve">Фундаменты (ж/б) - удовлетворительное.  Наружные и внутренние капитальные стены (панельные) - удовлетворительное.  Перегородки (гипсобетонные)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(мягкая, чердак вентилируемый)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удовлетворительное.Крыльца, отмостка  (ж/б) -удовлетворительное.   </t>
  </si>
  <si>
    <t>Информация о стоимости работ (услуг) управляющей организации по дому №52 ул. Заречная по Договору №44 управления многоквартирным домом от 31.05.2011</t>
  </si>
  <si>
    <t xml:space="preserve">Серия, тип постройки - КПД 101.  Год  постройки - 1991. Количество этажей - 5. Наличие подвала - есть. Наличие цокольного этажа - есть. Наличие мансарды - нет.Наличие мезонина - нет. Строительный объем - 12037 куб. м. Площадь помещений общего пользования: т/центр,    - 6,7 кв.м, л/клетки - 362,6 кв.м, всего 369,3 кв.м.  Количество лестниц - 3 с уб. площадью  248,1 кв.м. Уборочная площадь общих коридоров - 137,1 кв.м.. Площадь крыши - 947 кв.м. Площадь земельного участка, входящего в состав общего имущества МКД - 2438 кв. м. Площадь придомовой территории: территория за домом, периодически убираемая - 688 кв.м,  тротуаты -102 кв. м,  газоны - 406 кв.м, дворовые территории - 239 кв. м, всего 1435 кв.м.   </t>
  </si>
  <si>
    <t xml:space="preserve">Фундаменты (ж/б) - удовлетворительное.  Наружные и внутренние капитальные стены (панельные) - удовлетворительное.  Перегородки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(мягкая, чердак вентилируемый)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удовлетворительное.Крыльца, отмостка  (ж/б) -удовлетворительное.   </t>
  </si>
  <si>
    <t>Информация о стоимости работ (услуг) управляющей организации по дому №54 ул. Заречная по Договору №45 управления многоквартирным домом от 31.05.2011</t>
  </si>
  <si>
    <t xml:space="preserve">Серия, тип постройки - индивидуальный. Год  постройки - 1958. Количество этажей - 4. Наличие подвала - есть.Наличие цокольного этажа - есть. Наличие мансарды - нет.Наличие мезонина - нет. Строительный объем - 9643 куб. м. Площадь помещений общего пользования:(эл./щит. и тепло/ц.)15 кв.м,   л/клетки - 240,2 кв.м.  Количество лестниц - 4 с уб. площадью 264,2 кв.м. Уборочная площадь общих коридоров - нет. Площадь крыши - 942 кв.м. Площадь земельного участка, входящего в состав общего имущества МКД - 1664 кв.м. Площадь придомовой территории: тротуаты - 180 кв. м,  дворовые территории - 558 кв.м, всего 738 кв.м.   </t>
  </si>
  <si>
    <t>Информация о стоимости работ (услуг) управляющей организации по дому №6 ул. Центральная по Договору №15 управления многоквартирным домом от 31.05.2011</t>
  </si>
  <si>
    <t xml:space="preserve">Серия, тип постройки - серия №182 "Мобиль".  Год  постройки - 1992. Количество этажей - 5. Наличие подвала - есть. Наличие цокольного этажа - нет. Наличие мансарды - нет.Наличие мезонина - нет. Строительный объем - 9916 куб. м. Площадь помещений общего пользования:  т/центр - 16,9 кв.м, л/клетки - 267,6 кв.м, всего - 284,5 кв.м.  Количество лестниц - 5 с уб. площадью  294,4 кв.м. Уборочная площадь общих коридоров - нет. Площадь крыши - 775 кв.м. Площадь земельного участка, входящего в состав общего имущества МКД - 1604 кв. м. Площадь придомовой территории: территория за домом, периодически убираемая - 458 кв.м,  тротуаты -53 кв. м,  газоны - 87 кв.м, дворовые территории - 95 кв.м, всего - 693 кв.м.   </t>
  </si>
  <si>
    <t xml:space="preserve">Фундаменты (ж/б) - удовлетворительное.  Наружные и внутренние капитальные стены (ж/б панели) - удовлетворительное.  Перегородки (гипсобетонные)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(чердак вентилируемый, мягкая из рулон. материалов, внутр. водосток)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удовлетворительное.Крыльца, отмостка  (цементная стяжка) -удовлетворительное.   </t>
  </si>
  <si>
    <t>Информация о стоимости работ (услуг) управляющей организации по дому №10 ул. Центральная по Договору №48 управления многоквартирным домом от 31.05.2011</t>
  </si>
  <si>
    <t xml:space="preserve">Серия, тип постройки - 4570-73/75. Год  постройки - 1987. Количество этажей - 5. Наличие подвала - есть. Наличие цокольного этажа - нет. Наличие мансарды - нет.Наличие мезонина - нет. Строительный объем - 7924 куб. м. Площадь помещений общего пользования: т/центр, бойлерная  - 31 кв.м, л/клетки - 289,7 кв.м, всего 320,7 кв.м.  Количество лестниц - 3 с уб. площадью  318,7 кв.м. Уборочная площадь общих коридоров - нет. Площадь крыши - 627 кв.м. Площадь земельного участка, входящего в состав общего имущества МКД - 1491 кв. м. Площадь придомовой территории:  тротуаты - 177 кв. м,  газоны - 263 кв.м, всего 440 кв.м.   </t>
  </si>
  <si>
    <t xml:space="preserve">Фундаменты (ж/б) - удовлетворительное.  Наружные и внутренние капитальные стены (кирпичные оштукатуренные) - хорошее.  Перегородки (кирпичные, деревянные )-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(профилированная листовая сталь) - хорошее.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Крыльца, отмостка (цементные)  -  удовлетворительное. </t>
  </si>
  <si>
    <t>Информация о стоимости работ (услуг) управляющей организации по дому №7 ул. Центральная по Договору №16 управления многоквартирным домом от 31.05.2011</t>
  </si>
  <si>
    <t xml:space="preserve">Серия, тип постройки - 45-70. Год  постройки - 1974. Количество этажей - 5. Наличие подвала - нет. Наличие цокольного этажа - неть. Наличие мансарды - нет.Наличие мезонина - нет. Строительный объем - 11931куб. м. Площадь помещений общего пользования:   л/клетки - 260 кв.м.  Количество лестниц - 4 с уб. площадью 286,0 кв.м. Уборочная площадь общих коридоров - нет. Площадь крыши - 902 кв.м. Площадь земельного участка, входящего в состав общего имущества МКД - 1659 кв.м. Площадь придомовой территории: территория за домами, периодически убираемая 1542кв.м, тротуаты - 128 кв. м,  газоны 230 кв.м, дворовые территории - 100 кв.м, всего 2000 кв.м.   </t>
  </si>
  <si>
    <t xml:space="preserve">Фундаменты (ж/б) - удовлетворительное.  Наружные и внутренние капитальные стены (кирпичные) - удовлетворительное.  Перегородки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(стропила деревянные, проф. лист) - хорошее.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удовлетворительное.Крыльца (бетонное покрытие) - удовлетворительное.   </t>
  </si>
  <si>
    <t xml:space="preserve">Фундаменты (ж/б) - удовлетворительное.  Наружные и внутренние капитальные стены (кирпичные) - удовлетворительное.  Перегородки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(стропила деревянные, металлочерепица) - хорошее.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удовлетворительное.Крыльца - удовлетворительное.   </t>
  </si>
  <si>
    <t>Информация о стоимости работ (услуг) управляющей организации по дому №12 ул. Центральная по Договору №49 управления многоквартирным домом от 31.05.2011</t>
  </si>
  <si>
    <t xml:space="preserve">Серия, тип постройки - серия I-447 С.  Год  постройки - 1960. Количество этажей - 5. Наличие подвала - нет. Наличие цокольного этажа - нет. Наличие мансарды - нет.Наличие мезонина - нет. Строительный объем - 6763 куб. м. Площадь помещений общего пользования:   бойлерная - 17,1 кв.м, л/клетки - 119,7 кв.м, всего - 136,9 кв.м.  Количество лестниц - 2 с уб. площадью  133,2 кв.м. Уборочная площадь общих коридоров - нет. Площадь крыши - 564 кв.м. Площадь земельного участка, входящего в состав общего имущества МКД - 1326 кв. м. Площадь придомовой территории:  тротуаты - 140 кв. м,  газоны - 734 кв.м,  всего - 874 кв.м.   </t>
  </si>
  <si>
    <t xml:space="preserve">Серия, тип постройки - 4570 - 73/75. Год  постройки - 1980. Количество этажей - 5. Наличие подвала - есть.Наличие цокольного этажа - нет. Наличие мансарды - нет.Наличие мезонина - нет. Строительный объем - 13009 куб. м. Площадь помещений общего пользования: теплоцентр - 46,5 кв.м, л/клетки - 483,9 кв.м, всего - 530,4 кв.м.  Количество лестниц - 5 с уб. площадью 532,3 кв.м. Уборочная площадь общих коридоров - нет. Площадь крыши - 1030 кв.м. Площадь земельного участка, входящего в состав общего имущества МКД - 2157 кв.м. Площадь придомовой территории: территория за домами, периодически убираемая - 416 кв. м, тротуаты - 153 кв. м, газоны - 234 кв.м, дворовые территории - 57 кв.м, всего 860 кв.м.   </t>
  </si>
  <si>
    <t xml:space="preserve">Фундаменты (ж/б) - удовлетворительное.  Наружные и внутренние капитальные стены (крупнопанельные облицованы плиткой) - удовлетворительное.  Перегородки (ж/б)-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-  удовлетворительное. </t>
  </si>
  <si>
    <t>Информация о стоимости работ (услуг) управляющей организации по дому №23 ул. Заречная по Договору №12 управления многоквартирным домом от 31.05.2011</t>
  </si>
  <si>
    <t xml:space="preserve">Серия, тип постройки - индивидуальный. Год  постройки - 1958. Количество этажей - 4. Наличие подвала - есть.Наличие цокольного этажа - нет. Наличие мансарды - нет.Наличие мезонина - нет. Строительный объем - 10045 куб. м. Площадь помещений общего пользования:  л/клетки - 240,7 кв.м.  Количество лестниц - 4 с уб. площадью 264,8 кв.м. Уборочная площадь общих коридоров - нет. Площадь крыши - 951 кв.м. Площадь земельного участка, входящего в состав общего имущества МКД - 1524 кв.м. Площадь придомовой территории: тротуаты - 304 кв. м, газоны - 41 кв.м, дворовые территории -414 кв.м, всего 759 кв.м.   </t>
  </si>
  <si>
    <t>Информация о стоимости работ (услуг) управляющей организации по дому №1 ул. Центрпальная  по Договору №13 управления многоквартирным домом от 31.05.2011</t>
  </si>
  <si>
    <t>Информация о стоимости работ (услуг) управляющей организации по дому №3 ул. Центральная по Договору №14 управления многоквартирным домом от 31.05.2011</t>
  </si>
  <si>
    <t>с 01.01.2013</t>
  </si>
  <si>
    <t>Общая площадь жилых и нежилых помещений (кв. м)</t>
  </si>
  <si>
    <t xml:space="preserve">Серия, тип постройки - 4570 - 73/75. Год  постройки - 1979. Количество этажей - 5. Наличие подвала - есть.Наличие цокольного этажа - нет. Наличие мансарды - нет.Наличие мезонина - нет. Строительный объем - 12870 куб. м. Площадь помещений общего пользования: теплоцентр - 14,8 кв.м, л/клетки - 490,4 кв.м, всего - 505,2 кв.м.  Количество лестниц - 5 с уб. площадью 539,4кв.м. Уборочная площадь общих коридоров - нет. Площадь крыши - 1026 кв.м. Площадь земельного участка, входящего в состав общего имущества МКД - 2985 кв.м. Площадь придомовой территории: территория за домами, периодически убираемая - 2069 кв. м, тротуаты - 193 кв. м, газоны - 185 кв.м, дворовые территории -4547 кв.м, всего 2901 кв.м.   </t>
  </si>
  <si>
    <t xml:space="preserve">Серия, тип постройки - 45-70 - 73/75. Год  постройки - 1987. Количество этажей - 5. Наличие подвала - есть. Наличие цокольного этажа - нет. Наличие мансарды - нет.Наличие мезонина - нет. Строительный объем - 7708 куб. м. Площадь помещений общего пользования: л/клетки - 239,8 кв.м.  Количество лестниц - 3 с уб. площадью  263,8 кв.м. Уборочная площадь общих коридоров - нет. Площадь крыши - 617 кв.м. Площадь земельного участка, входящего в состав общего имущества МКД - 1656 кв. м. Площадь придомовой территории: территория за домами периодически убираемая - 43 кв.м,   тротуаты - 159 кв. м,  газоны - 362 кв.м, дворовые территории - 77 кв.м, всего 1028 кв.м.   </t>
  </si>
  <si>
    <t>расчеты по налогу на добавленную стоимость (030304000)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</si>
  <si>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</si>
  <si>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</si>
  <si>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</si>
  <si>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</si>
  <si>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</si>
  <si>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 xml:space="preserve">532 </t>
  </si>
  <si>
    <t>расчеты по удержаниям из выплат по оплате труда (030403000)</t>
  </si>
  <si>
    <t>внутриведомственные  расчеты (030404000)</t>
  </si>
  <si>
    <t>расчеты с прочими кредиторами (030406000)</t>
  </si>
  <si>
    <t>536</t>
  </si>
  <si>
    <t>финансовый результат по начисленной амортизации ОЦИ</t>
  </si>
  <si>
    <t>6231</t>
  </si>
  <si>
    <t>БАЛАНС (стр.600 + стр. 620)</t>
  </si>
  <si>
    <t xml:space="preserve">       Форма по ОКУД  </t>
  </si>
  <si>
    <t>0503721</t>
  </si>
  <si>
    <t xml:space="preserve">                         Дата  </t>
  </si>
  <si>
    <t>Учреждение</t>
  </si>
  <si>
    <t>Муниципальное бюджетное учреждение «Управление муниципальной собственностью (служба заказчика)» ЗАТО Видяево</t>
  </si>
  <si>
    <t>Обособленное подразделение</t>
  </si>
  <si>
    <t>Учредитель</t>
  </si>
  <si>
    <t>Наименование органа, осуществляю-</t>
  </si>
  <si>
    <t>щего полномочия учредителя</t>
  </si>
  <si>
    <t>Код строки</t>
  </si>
  <si>
    <t>Код аналитики</t>
  </si>
  <si>
    <t>Деятельность</t>
  </si>
  <si>
    <t>Доходы (стр. 030+стр. 040+стр. 050+стр. 060+стр. 090+стр. 100+стр. 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</si>
  <si>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</si>
  <si>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</si>
  <si>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поступления от бюджетов</t>
  </si>
  <si>
    <t>поступления от наднациональных организаций и правительств</t>
  </si>
  <si>
    <t>иностранных государств</t>
  </si>
  <si>
    <t>доходы от реализации нефинансовых активов</t>
  </si>
  <si>
    <t>доходы от реализации финансовых активов</t>
  </si>
  <si>
    <t>096</t>
  </si>
  <si>
    <t>099</t>
  </si>
  <si>
    <t>в том числе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</si>
  <si>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</si>
  <si>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</si>
  <si>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</si>
  <si>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</si>
  <si>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Форма 0503721 с.2</t>
  </si>
  <si>
    <t xml:space="preserve">                             Наименование показателя</t>
  </si>
  <si>
    <t>Расходы  (стр. 160+стр. 170+стр. 190+стр. 210+стр. 230+стр. 240 + стр. 250 + стр. 260+стр. 290)</t>
  </si>
  <si>
    <t xml:space="preserve">прочие выплаты 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</si>
  <si>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</si>
  <si>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</si>
  <si>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</si>
  <si>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государственным</t>
  </si>
  <si>
    <t>и муниципальным организациям</t>
  </si>
  <si>
    <t xml:space="preserve">перечисления наднациональным организациям и правительствам </t>
  </si>
  <si>
    <t>пенсии, пособия, выплачиваемые организациями сектора</t>
  </si>
  <si>
    <t>государственного управления</t>
  </si>
  <si>
    <t>Форма 0503721 с.3</t>
  </si>
  <si>
    <t xml:space="preserve"> Наименование показателя</t>
  </si>
  <si>
    <t>264</t>
  </si>
  <si>
    <t>269</t>
  </si>
  <si>
    <t>300</t>
  </si>
  <si>
    <t>301</t>
  </si>
  <si>
    <t xml:space="preserve">Налог на прибыль </t>
  </si>
  <si>
    <t>302</t>
  </si>
  <si>
    <t>Чистое изменение затрат на изготовление готовой продукции (работ,</t>
  </si>
  <si>
    <t>услуг)</t>
  </si>
  <si>
    <t xml:space="preserve">увеличение затрат </t>
  </si>
  <si>
    <t>X</t>
  </si>
  <si>
    <t>уменьшение затрат</t>
  </si>
  <si>
    <t>Форма 0503721 с.4</t>
  </si>
  <si>
    <t>поступления средств</t>
  </si>
  <si>
    <t>выбытия средств</t>
  </si>
  <si>
    <t>Чистое поступление ценных бумаг, кроме акций</t>
  </si>
  <si>
    <t xml:space="preserve">увеличение стоимости ценных бумаг, кроме акций </t>
  </si>
  <si>
    <t xml:space="preserve">уменьшение стоимости ценных бумаг, кроме акций </t>
  </si>
  <si>
    <t>Чистое предоставление займов (ссуд)</t>
  </si>
  <si>
    <t>увеличение задолженности по предоставленным займам (ссудам)</t>
  </si>
  <si>
    <t xml:space="preserve"> уменьшение задолженности по предоставленным займам (ссудам)</t>
  </si>
  <si>
    <t xml:space="preserve">Чистое поступление иных финансовых активов   </t>
  </si>
  <si>
    <t>увеличение стоимости иных финансовых активов</t>
  </si>
  <si>
    <t>уменьшение стоимости иных финансовых активов</t>
  </si>
  <si>
    <t xml:space="preserve">Чистое увеличение дебиторской задолженности </t>
  </si>
  <si>
    <t>увеличение дебиторской задолженности</t>
  </si>
  <si>
    <t>уменьшение дебиторской задолженности</t>
  </si>
  <si>
    <t>Форма 0503721 с.5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</si>
  <si>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</si>
  <si>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</si>
  <si>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</si>
  <si>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</si>
  <si>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</si>
  <si>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</si>
  <si>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 xml:space="preserve">Чистое увеличение прочей кредиторской задолженности </t>
  </si>
  <si>
    <t>Сидиченко Ю.В.</t>
  </si>
  <si>
    <t>Терновская Л.Б.</t>
  </si>
  <si>
    <t>(подпись)</t>
  </si>
  <si>
    <t>(расшифровка подписи)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</si>
  <si>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</si>
  <si>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</si>
  <si>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</si>
  <si>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</si>
  <si>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 xml:space="preserve">   (должность)  </t>
  </si>
  <si>
    <t xml:space="preserve"> (подпись)</t>
  </si>
  <si>
    <t xml:space="preserve">      (телефон, e-mail)</t>
  </si>
  <si>
    <t>"         " _________________ 20 ___  г.</t>
  </si>
  <si>
    <t xml:space="preserve">Серия, тип постройки - 45-70-73/75. Год  постройки - 1985. Количество этажей - 5. Наличие подвала - есть. Наличие цокольного этажа - нет. Наличие мансарды - нет.Наличие мезонина - нет. Строительный объем - 7863 куб. м. Площадь помещений общего пользования: т/центр, бойлерная - 48,8 кв.м, л/клетки - 291,1 кв.м, всего - 339,9 кв.м.  Количество лестниц - 3 с уб. площадь 320,2 кв.м. Уборочная площадь общих коридоров - нет. Площадь крыши - 619 кв.м. Площадь земельного участка, входящего в состав общего имущества МКД - 1828 кв.м. Площадь придомовой территории:  тротуаты - 100 кв. м,  газоны - 351 кв.м, дворовые территории - 515  кв.м, всего 966 кв.м.   </t>
  </si>
  <si>
    <t xml:space="preserve">Фундаменты (ж/б) - удовлетворительное.  Наружные и внутренние капитальные стены (крупнопанельные) - удовлетворительное.  Перегородки 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(мягкая из рулонного материала)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 -  удовлетворительное. Крыльца (ж/б), отмостка (цементная стяжка) - удовлетворительное. </t>
  </si>
  <si>
    <t>Мелкий ремонт электропроводки (возле электроприборов) в местах общего пользования</t>
  </si>
  <si>
    <t>Осмотр водоприемных воронок на предмет обледенения (кровли с внутринним водостоком)</t>
  </si>
  <si>
    <t>Ревизия водоподогревателей, прочистка, промывка</t>
  </si>
  <si>
    <t>Прочистка фильтров холодного водоснабжения</t>
  </si>
  <si>
    <t>Проведение плановых осмотров инженерного оборудования, расположенного в подвале и на чердаке многоквартирного дома</t>
  </si>
  <si>
    <t>Восстановление разрушенной тепловой изоляции</t>
  </si>
  <si>
    <t>Демонтаж и прочистка грязевиков</t>
  </si>
  <si>
    <t>Ремонт продухов</t>
  </si>
  <si>
    <t>Ремонт и укрепление дверных проёмов</t>
  </si>
  <si>
    <t>Восстановление (ремонт) вводов инженерных коммуникаций в подвальные помещения</t>
  </si>
  <si>
    <t>Незначительный ремонт порогов, выбоин, трещин на лестничных площадках</t>
  </si>
  <si>
    <t>Заделка отверстий при смене отдельных участков труб (при переходе их через перекрытия)</t>
  </si>
  <si>
    <t xml:space="preserve">Восстановление и ремонт разрушений и повреждений (внутреннего) отделочного слоя  (выборочный косметический ремонт в МОП) </t>
  </si>
  <si>
    <t xml:space="preserve">Ремонт штепсельных розеток и выключателей в МОП </t>
  </si>
  <si>
    <t>Замена светильников в МОП</t>
  </si>
  <si>
    <t>Замена пакетных переключателей в МОП</t>
  </si>
  <si>
    <t>Ремонт групповых щитков на лестничной площадке со сменой автоматов</t>
  </si>
  <si>
    <t>Замена отдельных участков внутренних трубопроводов из стальных труб на многослойные металл-полимерные Ø25 мм</t>
  </si>
  <si>
    <t>Смена унитазов (при замене канализационного стояка)</t>
  </si>
  <si>
    <t>Замена радиаторных блоков - ремонт приборов отопления с заменой отдельных секции МС-140</t>
  </si>
  <si>
    <t>Устранение протечек в стояках и розливах отопления и их частичная замена</t>
  </si>
  <si>
    <t>Обслуживание и ремонт общедомовых приборов учета</t>
  </si>
  <si>
    <t>Периодичность</t>
  </si>
  <si>
    <t>5 раз в неделю</t>
  </si>
  <si>
    <t>6 раз в неделю</t>
  </si>
  <si>
    <t>по мере необходимости</t>
  </si>
  <si>
    <t>2 раза в год</t>
  </si>
  <si>
    <t>1 раз в год</t>
  </si>
  <si>
    <t>1 раз в месяц</t>
  </si>
  <si>
    <t>1 раз в неделю</t>
  </si>
  <si>
    <t>постоянно на системах водоснабжения, теплоснабжения, канализации, энергоснабжения</t>
  </si>
  <si>
    <t>Устранение протечек кровли</t>
  </si>
  <si>
    <t>Аварийное обслуживание</t>
  </si>
  <si>
    <t>Дератизация</t>
  </si>
  <si>
    <t>Программа производственного контроля по качеству воды</t>
  </si>
  <si>
    <t>Обслуживание и текущий ремонт электроплит</t>
  </si>
  <si>
    <t>Наименование обязательных работ и услуг</t>
  </si>
  <si>
    <t>Наименование дополнительных работ и услуг</t>
  </si>
  <si>
    <t xml:space="preserve">Вывоз твердых бытовых отходов (крупногабаритный мусор) </t>
  </si>
  <si>
    <t>Осмотр и прочистка вентиляционных каналов</t>
  </si>
  <si>
    <t>Окраска контейнерных площадок</t>
  </si>
  <si>
    <t>Окраска мусорных бачков</t>
  </si>
  <si>
    <t>Ремонт штукатурки фасадов, цоколей, крылец</t>
  </si>
  <si>
    <t>Ремонт ступеней, крылец, площадок</t>
  </si>
  <si>
    <t>Ремонт металлических ограждений лестничных маршей и площадок</t>
  </si>
  <si>
    <t>Окраска фасадов, цоколей, крылец отдельными участками</t>
  </si>
  <si>
    <t>Окраска металлических ограждении лестничных маршей</t>
  </si>
  <si>
    <t>Окраска дверных полотен подъездов</t>
  </si>
  <si>
    <t>б)</t>
  </si>
  <si>
    <t>Расчеты с РСО за поставленные коммунальные ресурсы.</t>
  </si>
  <si>
    <t xml:space="preserve">Заключение договоров с РСО: с ОАО "Водоканал" - на водоснабжение и водоотведение, с МУПП ЖКХ ЗАТО Видяево - на теплоснабжение, с ООО "Севгаз" - на газоснабжение, с ОАО "Колэнергосбыт" - на электроснабжение жилищного фонда ЗАТО Видяево. Контроль за соблюдением условий договоров и их исполнением. </t>
  </si>
  <si>
    <t>2.</t>
  </si>
  <si>
    <t>Весь жилищный фонд ЗАТО Видяево муниципальный, приватизированного жилья  нет,  поэтому  собраний собственников не проводятся.</t>
  </si>
  <si>
    <t>3.</t>
  </si>
  <si>
    <t>4.</t>
  </si>
  <si>
    <t>5.</t>
  </si>
  <si>
    <t>Осуществление  начисления  и сбора платы за ЖКУ пользователям  жилых помещений в МКД.</t>
  </si>
  <si>
    <t>Требование от пользователей жилыми помещениями своевременной и полной оплаты за ЖКУ.</t>
  </si>
  <si>
    <t>Ведение технической документации  на МКД и иных документов, связанных с управлением МКД, внесение в техническую документацию изменений, отражающих  состояние МКД в соответствии с результатами проводимых осмотров.</t>
  </si>
  <si>
    <t>Ведение делопроизводства, бухгалтерского, статистического учета, финансовой и иной документации на МКД, обеспечение сохранности  документов.</t>
  </si>
  <si>
    <t>Рассмотрение предложений, заявлений и жалоб Собственника и  пользователей жилыми помещениями, принятие мер по устранению  указанных недостатков в установленные сроки. Не позднее 10 рабочих дней со дня получения письменного заявления информировать заявителя о решении, принятом по заявленному вопросу.</t>
  </si>
  <si>
    <t>Информирование Собственника и пользователей жилыми помещениями о плановых перерывах предоставления коммунальных услуг не позднее, чем за 10 дней до начала перерыва, о причинах и предполагаемой продолжительности непредвиденных  перерывов в предоставлении коммунальных услуг, продолжительности представления коммунальных услуг качества ниже, предусмотренного  Правилами  предоставления коммунальных услуг, в течении одних суток с момента обнаружения недостатков  путем  размещения соответствующей информации на подъездах МКД, а в случае личного обращения, немедленно.</t>
  </si>
  <si>
    <t>Обеспечение доставки пользователям жилых помещений  в МКД платежных документов не позднее первого числа месяца, следующего за истекшим месяцем.</t>
  </si>
  <si>
    <t>Обеспечение Собственника и пользователей жилыми помещениями  в МКД информацией о телефонах аварийных служб путем  их указания на платежных документах и  размещения на подъездах МКД.</t>
  </si>
  <si>
    <t>Участие в приемке на коммерческий учет индивидуальных приборов учета потребления коммунальных услуг в эксплуатацию, фиксация начальных показаний приборов, контроль межповерочных сроков эксплуатации приборов учета. Анализ потребления ресурсов по индивидуальным приборам учета.</t>
  </si>
  <si>
    <t xml:space="preserve">Серия, тип постройки - блок секция серия 85. Год  постройки - 1983. Количество этажей - 5. Наличие подвала - есть. Наличие цокольного этажа - нет. Наличие мансарды - нет.Наличие мезонина - нет. Строительный объем - 3501 куб. м. Площадь помещений общего пользования: т/центр, бойлерная -52,8 кв.м, л/клетки - 94,9 кв.м, тамбур 1,2 кв.м, всего 148,9 кв.м.  Количество лестниц - 1 с уб. площадью  104 кв.м. Уборочная площадь общих коридоров - нет. Площадь крыши - 262 кв.м. Площадь земельного участка, входящего в состав общего имущества МКД - 540 кв. м. Площадь придомовой территории:  тротуаты - 50 кв. м,  газоны - 204 кв.м, дворовые территории - 16 кв.м, всего 270 кв.м.   </t>
  </si>
  <si>
    <t>Информация о стоимости работ (услуг) управляющей организации по дому №32 ул. Заречная по Договору №31 управления многоквартирным домом от 31.05.2011</t>
  </si>
  <si>
    <t xml:space="preserve">Серия, тип постройки - 4570-73/75. Год  постройки - 1988. Количество этажей - 5. Наличие подвала - есть. Наличие цокольного этажа - нет. Наличие мансарды - нет.Наличие мезонина - нет. Строительный объем - 10418 куб. м. Площадь помещений общего пользования: т/центр, бойлерная  - 48,7 кв.м, л/клетки - 326,7 кв.м, всего 375,4 кв.м.  Количество лестниц - 4 с уб. площадью  359,4 кв.м. Уборочная площадь общих коридоров - нет. Площадь крыши - 822 кв.м. Площадь земельного участка, входящего в состав общего имущества МКД - 2292 кв. м. Площадь придомовой территории: территория за домами, периодически убираемая 1297 кв.м, тротуаты - 213 кв. м,  газоны - 443 кв.м, , всего 1953 кв.м.   </t>
  </si>
  <si>
    <t xml:space="preserve">Серия, тип постройки - (сведения в тех паспорте не указаны). Год  постройки - 1988. Количество этажей - 5. Наличие подвала - есть. Наличие цокольного этажа - нет. Наличие мансарды - нет.Наличие мезонина - нет. Строительный объем - 12898куб. м. Площадь помещений общего пользования: т/центр, бойлерная  - 60,8 кв.м, л/клетки - 262,6 кв.м, всего 323,4 кв.м.  Количество лестниц - 3 с уб. площадью  288,9 кв.м. Уборочная площадь общих коридоров - нет. Площадь крыши - 969 кв.м. Площадь земельного участка, входящего в состав общего имущества МКД - 2090 кв. м. Площадь придомовой территории: территория за домами, периодически убираемая 309 кв.м, тротуаты - 470 кв. м,  газоны - 865 кв.м,  всего 1644 кв.м.   </t>
  </si>
  <si>
    <t xml:space="preserve">Фундаменты (ж/б) - удовлетворительное.  Наружные и внутренние капитальные стены (крупнопанельные облицованы плиткой) - удовлетворительное.  Перегородки  (кирпичные, 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(мягкая из рулонного материала)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 -  удовлетворительное. Отмостка (асфальтовая) - удовлетворительное. </t>
  </si>
  <si>
    <t>Информация о стоимости работ (услуг) управляющей организации по дому №22 ул. Заречная по Договору №23 управления многоквартирным домом от 31.05.2011</t>
  </si>
  <si>
    <t>Информация о стоимости работ (услуг) управляющей организации по дому №20 ул. Заречная по Договору №22 управления многоквартирным домом от 31.05.2011</t>
  </si>
  <si>
    <t xml:space="preserve">Серия, тип постройки - 4570-73/75. Год  постройки - 1986. Количество этажей - 5. Наличие подвала - есть. Наличие цокольного этажа - нет. Наличие мансарды - нет.Наличие мезонина - нет. Строительный объем - 12966  куб. м. Площадь помещений общего пользования: т/центр, бойлерная - 52,3 кв.м, л/клетки - 485,6 кв.м, всего - 537,9 кв.м.  Количество лестниц - 5 с уб. площадь 534,2 кв.м. Уборочная площадь общих коридоров - нет. Площадь крыши - 1025 кв.м. Площадь земельного участка, входящего в состав общего имущества МКД - 2582 кв.м. Площадь придомовой территории: территория за домами, периодически убираемая 1269 кв.м, тротуаты - 169 кв. м,  газоны - 289 кв.м, дворовые территории - 346  кв.м, всего 2073 кв.м.   </t>
  </si>
  <si>
    <t xml:space="preserve">Фундаменты (ж/б) - удовлетворительное.  Наружные и внутренние капитальные стены (крупнопанельные) - удовлетворительное.  Перегородки 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 -  удовлетворительное. Отмостка  - удовлетворительное. </t>
  </si>
  <si>
    <t>Информация о стоимости работ (услуг) управляющей организации по дому №25 ул. Заречная по Договору №24 управления многоквартирным домом от 31.05.2011</t>
  </si>
  <si>
    <t xml:space="preserve">Фундаменты (ж/б) - удовлетворительное.  Наружные и внутренние капитальные стены (крупнопанельные облицованные плиткой) - удовлетворительное.  Перегородки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(скатная,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Крыльца, отмостка (асфальтовая)  -  удовлетворительное. </t>
  </si>
  <si>
    <t>Информация о стоимости работ (услуг) управляющей организации по дому №23 ул. Центральная по Договору №18 управления многоквартирным домом от 31.05.2011</t>
  </si>
  <si>
    <t>Услуги по вывозу бытовых отходов и крупногабаритного мусора</t>
  </si>
  <si>
    <t>Организация и содержание мест накопления  отработанных ртутьсодержащих  ламп и их сдача в спец. организации</t>
  </si>
  <si>
    <t xml:space="preserve">Текущий ремонт и обслуживание вентиляции </t>
  </si>
  <si>
    <t>13.</t>
  </si>
  <si>
    <t>12.</t>
  </si>
  <si>
    <t>Программа производственного контроля качества  воды</t>
  </si>
  <si>
    <t xml:space="preserve">Серия, тип постройки - блок секция серия 85. Год  постройки - 1982. Количество этажей - 5. Наличие подвала - есть. Наличие цокольного этажа - есть. Наличие мансарды - нет.Наличие мезонина - нет. Строительный объем - 3542  куб. м. Площадь помещений общего пользования: т/центр, бойлерная - 53,8 кв.м, л/клетки - 87,5 кв.м, тамбур 1,3 кв.м, всего - 142,6 кв.м.  Количество лестниц - 1 с уб. площадь 96 кв.м. Уборочная площадь общих коридоров - нет. Площадь крыши - 267 кв.м. Площадь земельного участка, входящего в состав общего имущества МКД - 583 кв. м. Площадь придомовой территории: тротуаты - 24 кв. м,  газоны - 49 кв.м, дворовые территории - 239  кв.м, всего 312 кв.м.   </t>
  </si>
  <si>
    <t xml:space="preserve">Фундаменты (ж/б) - удовлетворительное.  Наружные и внутренние капитальные стены (кирпичные) - удовлетворительное.  Перегородки 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 -  удовлетворительное.  </t>
  </si>
  <si>
    <t>Информация о стоимости работ (услуг) управляющей организации по дому №26 ул. Заречная по Договору №25 управления многоквартирным домом от 31.05.2011</t>
  </si>
  <si>
    <t xml:space="preserve">Серия, тип постройки - I-464А. Год  постройки - 1972. Количество этажей - 5. Наличие подвала - есть. Наличие цокольного этажа - нет. Наличие мансарды - нет.Наличие мезонина - нет. Строительный объем - 11511  куб. м. Площадь помещений общего пользования: л/клетки - 397,8 кв.м.  Количество лестниц - 5, в том числе на консервации 1, уб. площадь 373,6 кв.м., в том числе законсервированная 74,9 кв.м, итого 298,7 кв.м.  Уборочная площадь общих коридоров - нет. Площадь крыши - 905 кв.м. Площадь земельного участка, входящего в состав общего имущества МКД - 2416кв.м. Площадь придомовой территории: территория за домами, периодически убираемая 1058 кв.м, тротуаты - 187 кв. м,  газоны 263кв.м, дворовые территории - 614 кв.м, всего 2122 кв.м.   </t>
  </si>
  <si>
    <t xml:space="preserve">Фундаменты (ж/б) - удовлетворительное.  Наружные и внутренние капитальные стены (крупнопанельные облицованы плиткой) - удовлетворительное.  Перегородки (кирпичные, гипсобетонные)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(бесчердачная,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(бетонные)  -  удовлетворительное. Отмостка (асфальтовая) - удовлетворительное. </t>
  </si>
  <si>
    <t>Информация о стоимости работ (услуг) управляющей организации по дому №16 ул. Заречная по Договору №20 управления многоквартирным домом от 31.05.2011</t>
  </si>
  <si>
    <t>Реквизиты нормативных правовых актов, которыми установлены  нормативы</t>
  </si>
  <si>
    <t xml:space="preserve">Серия, тип постройки - 4570. Год  постройки - 1982. Количество этажей - 5. Наличие подвала - есть. Наличие цокольного этажа - нет. Наличие мансарды - нет.Наличие мезонина - нет. Строительный объем - 7808 куб. м. Площадь помещений общего пользования: т/центр, бойлерная - 32,6 кв.м, л/клетки - 289,4 кв.м,  всего - 322 кв.м.  Количество лестниц - 3 с уб. площадь 318,3 кв.м. Уборочная площадь общих коридоров - нет. Площадь крыши - 617 кв.м. Площадь земельного участка, входящего в состав общего имущества МКД - 1499 кв. м. Площадь придомовой территории: территория за домами, периодически убираемая - 1068 кв.м, тротуаты - 125 кв. м,  газоны - 82 кв.м, дворовые территории - 122 кв.м, всего 1397 кв.м.   </t>
  </si>
  <si>
    <t xml:space="preserve">Фундаменты (ж/б) - удовлетворительное.  Наружные и внутренние капитальные стены (ж/б панели) - удовлетворительное.  Перегородки  (гипсобетонные)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 -  удовлетворительное.  </t>
  </si>
  <si>
    <t>Информация о стоимости работ (услуг) управляющей организации по дому №28 ул. Заречная по Договору №27 управления многоквартирным домом от 31.05.2011</t>
  </si>
  <si>
    <t>Информация о стоимости работ (услуг) управляющей организации по дому №14 ул. Центральная по Договору №50 управления многоквартирным домом от 31.05.2011</t>
  </si>
  <si>
    <t xml:space="preserve">Серия, тип постройки - 4570-73/75. Год  постройки - 1985. Количество этажей - 5. Наличие подвала - есть. Наличие цокольного этажа - нет. Наличие мансарды - нет.Наличие мезонина - нет. Строительный объем - 12949  куб. м. Площадь помещений общего пользования: т/центр, бойлерная - 52,6 кв.м, л/клетки - 408,4 кв.м, всего - 461,0 кв.м.  Количество лестниц - 5 с уб. площадь 449,2 кв.м. Уборочная площадь общих коридоров - нет. Площадь крыши - 1024 кв.м. Площадь земельного участка, входящего в состав общего имущества МКД - 2582 кв.м. Площадь придомовой территории: территория за домами, периодически убираемая 1985 кв.м, тротуаты - 188 кв. м,  газоны - 476 кв.м, дворовые территории - 80  кв.м, всего 2729 кв.м.   </t>
  </si>
  <si>
    <t xml:space="preserve">ОГРН 1025100587412 от 29.11.2011г, Межрайонная инспекция  Федеральной налоговой службы №2 по Мурманской обл. </t>
  </si>
  <si>
    <t>н.п. Видяево</t>
  </si>
  <si>
    <t>Расторжения  договоров  управления МКД  в предыдущем календарном году не было</t>
  </si>
  <si>
    <t>Заречная, 36</t>
  </si>
  <si>
    <t>Заречная, 38</t>
  </si>
  <si>
    <t>Заречная, 40</t>
  </si>
  <si>
    <t>Заречная, 41</t>
  </si>
  <si>
    <t>Заречная, 42</t>
  </si>
  <si>
    <t>Заречная, 44</t>
  </si>
  <si>
    <t>Заречная, 46</t>
  </si>
  <si>
    <t>Заречная, 48</t>
  </si>
  <si>
    <t>Заречная, 50</t>
  </si>
  <si>
    <t>Заречная, 52</t>
  </si>
  <si>
    <t>Заречная, 54</t>
  </si>
  <si>
    <t>Заречная, 56</t>
  </si>
  <si>
    <t>Заречная, 58</t>
  </si>
  <si>
    <t>Центральная, 1</t>
  </si>
  <si>
    <t>Центральная, 3</t>
  </si>
  <si>
    <t>Центральная, 6</t>
  </si>
  <si>
    <t>Центральная, 7</t>
  </si>
  <si>
    <t>Центральная, 10</t>
  </si>
  <si>
    <t>Центральная, 12</t>
  </si>
  <si>
    <t>Центральная, 14</t>
  </si>
  <si>
    <t>Центральная, 21</t>
  </si>
  <si>
    <t>Центральная, 23</t>
  </si>
  <si>
    <t>Центральная, 25</t>
  </si>
  <si>
    <t>Договор № 1 от 31.05.2011г</t>
  </si>
  <si>
    <t>Договор № 2 от 31.05.2011г</t>
  </si>
  <si>
    <t>Договор № 3 от 31.05.2011г</t>
  </si>
  <si>
    <t>Договор № 4 от 31.05.2011г</t>
  </si>
  <si>
    <t>Договор № 5 от 31.05.2011г</t>
  </si>
  <si>
    <t>Договор № 6 от 31.05.2011г</t>
  </si>
  <si>
    <t>Договор № 7 от 31.05.2011г</t>
  </si>
  <si>
    <t>Договор № 8 от 31.05.2011г</t>
  </si>
  <si>
    <t>Договор № 9 от 31.05.2011г</t>
  </si>
  <si>
    <t>Договор № 10 от 31.05.2011г</t>
  </si>
  <si>
    <t>Договор № 11 от 31.05.2011г</t>
  </si>
  <si>
    <t>Договор № 12 от 31.05.2011г</t>
  </si>
  <si>
    <t>Договор № 20 от 31.05.2011г</t>
  </si>
  <si>
    <t>Договор № 21 от 31.05.2011г</t>
  </si>
  <si>
    <t>Договор № 22 от 31.05.2011г</t>
  </si>
  <si>
    <t>Договор № 23 от 31.05.2011г</t>
  </si>
  <si>
    <t>Договор № 24 от 31.05.2011г</t>
  </si>
  <si>
    <t>Договор № 25 от 31.05.2011г</t>
  </si>
  <si>
    <t>Договор № 26 от 31.05.2011г</t>
  </si>
  <si>
    <t>Договор № 27 от 31.05.2011г</t>
  </si>
  <si>
    <t>Договор № 28 от 31.05.2011г</t>
  </si>
  <si>
    <t>Договор № 29 от 31.05.2011г</t>
  </si>
  <si>
    <t>Договор № 30 от 31.05.2011г</t>
  </si>
  <si>
    <t>Договор № 31 от 31.05.2011г</t>
  </si>
  <si>
    <t>Договор № 32 от 31.05.2011г</t>
  </si>
  <si>
    <t>Договор № 33 от 31.05.2011г</t>
  </si>
  <si>
    <t>Договор № 34 от 31.05.2011г</t>
  </si>
  <si>
    <t>Договор № 35 от 31.05.2011г</t>
  </si>
  <si>
    <t>Договор № 36 от 31.05.2011г</t>
  </si>
  <si>
    <t>Договор № 37 от 31.05.2011г</t>
  </si>
  <si>
    <t>Договор № 38 от 31.05.2011г</t>
  </si>
  <si>
    <t>Договор № 39 от 31.05.2011г</t>
  </si>
  <si>
    <t>Договор № 40 от 31.05.2011г</t>
  </si>
  <si>
    <t>Договор № 41 от 31.05.2011г</t>
  </si>
  <si>
    <t>Договор № 42 от 31.05.2011г</t>
  </si>
  <si>
    <t>Договор № 43 от 31.05.2011г</t>
  </si>
  <si>
    <t>Договор № 44 от 31.05.2011г</t>
  </si>
  <si>
    <t>Договор № 45 от 31.05.2011г</t>
  </si>
  <si>
    <t>Договор № 46 от 31.05.2011г</t>
  </si>
  <si>
    <t>Договор № 47 от 31.05.2011г</t>
  </si>
  <si>
    <t>Договор № 13 от 31.05.2011г</t>
  </si>
  <si>
    <t>Договор № 14 от 31.05.2011г</t>
  </si>
  <si>
    <t>Договор № 15 от 31.05.2011г</t>
  </si>
  <si>
    <t>Договор № 16 от 31.05.2011г</t>
  </si>
  <si>
    <t>Договор № 48 от 31.05.2011г</t>
  </si>
  <si>
    <t>Договор № 49 от 31.05.2011г</t>
  </si>
  <si>
    <t>Договор № 50 от 31.05.2011г</t>
  </si>
  <si>
    <t>Договор № 17 от 31.05.2011г</t>
  </si>
  <si>
    <t>Договор № 18 от 31.05.2011г</t>
  </si>
  <si>
    <t>Договор № 19 от 31.05.2011г</t>
  </si>
  <si>
    <t>в том числе консервация</t>
  </si>
  <si>
    <t xml:space="preserve">Серия, тип постройки - 45-70.  Год  постройки - 1989. Количество этажей - 5. Наличие подвала - есть. Наличие цокольного этажа - нет. Наличие мансарды - нет.Наличие мезонина - нет. Строительный объем - 7789 куб. м. Площадь помещений общего пользования: т/центр, бойлерная  - 33,0 кв.м, л/клетки - 289,5 кв.м, всего 322,5 кв.м.  Количество лестниц - 3 с уб. площадью  318,5 кв.м. Уборочная площадь общих коридоров - нет. Площадь крыши - 623 кв.м. Площадь земельного участка, входящего в состав общего имущества МКД - 365 кв. м. Площадь придомовой территории: территория за домами, периодически убираемая 741 кв.м, тротуаты - 96 кв. м,  газоны - 218 кв.м, дворовые территории - 60 кв. м, всего 1115 кв.м.   </t>
  </si>
  <si>
    <t xml:space="preserve">Фундаменты (ж/б) - удовлетворительное.  Наружные и внутренние капитальные стены (крупнопанельные) - удовлетворительное.  Перегородки (гипсолитовые) 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(бесчердачная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удовлетворительное.Крыльца (ж/б) -удовлетворительное.   </t>
  </si>
  <si>
    <t>Информация о стоимости работ (услуг) управляющей организации по дому №46 ул. Заречная по Договору №41 управления многоквартирным домом от 31.05.2011</t>
  </si>
  <si>
    <t xml:space="preserve">Фундаменты (ж/б) - удовлетворительное.  Наружные и внутренние капитальные стены (крупнопанельные сборнофй конструкции) - удовлетворительное.  Перегородки (гипсолитовые)-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 (ж/б) -  удовлетворительное. </t>
  </si>
  <si>
    <t>Информация о стоимости работ (услуг) управляющей организации по дому №13 ул. Заречная по Договору №8 управления многоквартирным домом от 31.05.2011</t>
  </si>
  <si>
    <t xml:space="preserve">Серия, тип постройки - 45-70. Год  постройки - 1979. Количество этажей - 5. Наличие подвала - есть.Наличие цокольного этажа - нет. Наличие мансарды - нет.Наличие мезонина - нет. Строительный объем - 7901 куб. м. Площадь помещений общего пользования: теплоцентр - 44,1 кв.м, л/клетки - 307,9 кв.м, всего - 352 кв.м.  Количество лестниц - 3 с уб. площадью 338,7кв.м. Уборочная площадь общих коридоров - нет. Площадь крыши - 618кв.м. Площадь земельного участка, входящего в состав общего имущества МКД - 1874 кв.м. Площадь придомовой территории: территория за домами, периодически убираемая - 188 кв. м, тротуаты - 83 кв. м, газоны - 291 кв.м, дворовые территории - 178 кв.м, всего 740кв.м.   </t>
  </si>
  <si>
    <t>Информация о стоимости работ (услуг) управляющей организации по дому №1 ул. Заречная по Договору №1 управления многоквартирным домом от 31.05.2011</t>
  </si>
  <si>
    <t>Содержание АДС</t>
  </si>
  <si>
    <t>Уборка придомовой территории, подъездов, л/клеток</t>
  </si>
  <si>
    <t>Текущий ремонт конструктивных  элементов ж/зданий</t>
  </si>
  <si>
    <t xml:space="preserve">Текущий ремонт и обслуживание сетей ХГВС </t>
  </si>
  <si>
    <t>6.</t>
  </si>
  <si>
    <t>Текущий ремонт и обслуживание сетей канализации</t>
  </si>
  <si>
    <t>7.</t>
  </si>
  <si>
    <t>Текущий ремонт и обслуживание сетей отопления</t>
  </si>
  <si>
    <t>8.</t>
  </si>
  <si>
    <t>9.</t>
  </si>
  <si>
    <t>10.</t>
  </si>
  <si>
    <t>Управление МКД</t>
  </si>
  <si>
    <t xml:space="preserve">Текущий ремонт и обслуживание электрических сетей </t>
  </si>
  <si>
    <t>11.</t>
  </si>
  <si>
    <t>Гарантийный срок на выполненные работы  по текущему ремонту  1 год.</t>
  </si>
  <si>
    <t>Информация о стоимости работ (услуг) управляющей организации по дому №8 ул. Заречная по Договору №6 управления многоквартирным домом от 31.05.2011</t>
  </si>
  <si>
    <t xml:space="preserve">Серия, тип постройки - 4570 -73/75. Год  постройки - 1981. Количество этажей - 5. Наличие подвала - есть.Наличие цокольного этажа - нет. Наличие мансарды - нет.Наличие мезонина - нет. Строительный объем - 7877 куб. м. Площадь помещений общего пользования: теплоцентр - 48,6 кв.м, л/клетки - 293,2 кв.м, всего - 341,8 кв.м.  Количество лестниц - 3 с уб. площадью 322,5 кв.м. Уборочная площадь общих коридоров - нет. Площадь крыши - 620кв.м. Площадь земельного участка, входящего в состав общего имущества МКД - 2294 кв.м. Площадь придомовой территории: тротуаты - 210 кв. м, газоны - 254 кв.м, дворовые территории - 543 кв.м, всего 1007 кв.м.   </t>
  </si>
  <si>
    <t xml:space="preserve">Фундаменты (ж/б) - удовлетворительное.  Наружные и внутренние капитальные стены (крупнопанельные облицованы плиткой), МПШ  - удовлетворительное.  Перегородки (ж/б)- удовлетворительное. Перекрытия чердачные (ж/б)- удовлетворительное. Перекрытия межэтажные(ж/б)  - удовлетворительное. Перекрытия подвальные (ж/б) - удовлетворительное. Крыша (чердачная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  Крыльца(ж/б) -  удовлетворительное. </t>
  </si>
  <si>
    <t xml:space="preserve">Серия, тип постройки - 78. Год  постройки - 1978. Количество этажей - 5. Наличие подвала - есть.Наличие цокольного этажа - нет.Наличие мансарды - нет.Наличие мезонина - нет. Строительный объем - 11037 куб. м. Площадь помещений общего пользования: теплоцентр - 65,2 кв.м, л/клетки - 338,2 кв.м, всего - 403,4 кв.м.  Количество лестниц - 4 с уб. площадью 372 кв.м. Уборочная площадь общих коридоров - нет. Площадь крыши - 795 кв.м. Площадь земельного участка, входящего в состав общего имущества МКД - 3134 кв.м. Площадь придомовой территории: тротуаты - 175 кв. м, газоны - 745 кв.м, дворовые территории 81 кв.м, всего 1001 кв.м.   </t>
  </si>
  <si>
    <t xml:space="preserve">Отдельных объектов, относящихся к  общему имуществу МКД, нет. </t>
  </si>
  <si>
    <t>Информация о стоимости работ (услуг) управляющей организации по дому №2 ул. Заречная по Договору №2 управления многоквартирным домом от 31.05.2011</t>
  </si>
  <si>
    <t xml:space="preserve">Фундаменты (ж/б) - хорошее, Наружные и внутренние капитальные стены (крупнопанельные)- хорошее. Перегородки (гипсолитовые)- хорошее. Перекрытия чердачные (ж/б)- хорошее. Перекрытия межэтажные(ж/б)  - хорошее. Перекрытия подвальные (ж/б) - хорошее. Крыша (чердачная мягкая) - мееются вздутия, повреждение верхнего слоя, протечки.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Т/подвалы - нет освещения. Крыльца(ж/б) - наличие трещин, отколов. </t>
  </si>
  <si>
    <t>Информация о стоимости работ (услуг) управляющей организации по дому №5 ул. Заречная по Договору №3 управления многоквартирным домом от 31.05.2011</t>
  </si>
  <si>
    <t xml:space="preserve">Серия, тип постройки - 4570-73/75. Год  постройки - 1978. Количество этажей - 5. Наличие подвала - есть.Наличие цокольного этажа - нет. Наличие мансарды - нет.Наличие мезонина - нет. Строительный объем - 12874 куб. м. Площадь помещений общего пользования: теплоцентр - 29,2 кв.м, л/клетки - 485 кв.м, всего - 514,5 кв.м.  Количество лестниц - 5 с уб. площадью 533,5 кв.м. Уборочная площадь общих коридоров - нет. Площадь крыши - 1023 кв.м. Площадь земельного участка, входящего в состав общего имущества МКД - 3013 кв.м. Площадь придомовой территории: тротуаты - 340 кв. м, газоны - 186 кв.м, дворовые территории 895 кв.м, всего 1421кв.м.   </t>
  </si>
  <si>
    <t xml:space="preserve">Фундаменты (ж/б) - хорошее, Наружные и внутренние капитальные стены (крупнопанельные)- хорошее. Перегородки (гипсолитовые)- хорошее. Перекрытия чердачные (ж/б)- хорошее. Перекрытия межэтажные(ж/б)  - хорошее. Перекрытия подвальные (ж/б) - хорошее. Крыша (чердачная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Т/подвалы - нет освещения. Крыльца(ж/б) - наличие трещин, сколы ступеней. </t>
  </si>
  <si>
    <t>Постановление  Министерства  энергетики и ЖКХ Мурманской обл. от 18.07.2012 №5</t>
  </si>
  <si>
    <t xml:space="preserve"> </t>
  </si>
  <si>
    <t xml:space="preserve">Нормативы потребления  электроэнергии населением </t>
  </si>
  <si>
    <t xml:space="preserve">Фундаменты (ж/б) - хорошее, Наружные и внутренние капитальные стены (крупнопанельные), цоколь (кирпичный оштукатуренный)- хорошее. Перегородки (гипсолитовые)- хорошее. Перекрытия чердачные (ж/б)- хорошее. Перекрытия межэтажные(ж/б)  - хорошее. Перекрытия подвальные (ж/б) - хорошее. Крыша (чердачная мягкая) - удовлетворительное. Внутридомовые инженерные коммуникации и оборудование для предоставления коммунальных услуг : электроснабжения (скрытая проводка) - удовлетворительное, холодного водоснабжения (стальные трубы)  - удовлетворительное, горячего водоснабжения(стальные трубы) - удовлетворительное, водоотведения (чугунные трубы) - удовлетворительное, отопления - удовлетворительное. Т/подвалы - нет освещения. Крыльца(ж/б) - наличие трещин, сколы ступеней. </t>
  </si>
  <si>
    <t>Информация о стоимости работ (услуг) управляющей организации по дому №6 ул. Заречная по Договору №4 управления многоквартирным домом от 31.05.2011</t>
  </si>
  <si>
    <t>тепловая энергия</t>
  </si>
  <si>
    <t>газ сжиженный</t>
  </si>
  <si>
    <t xml:space="preserve">Серия, тип постройки - 78. Год  постройки - 1978. Количество этажей - 5. Наличие подвала - нет.Наличие цокольного этажа - есть. Наличие мансарды - нет.Наличие мезонина - нет. Строительный объем - 12567 куб. м. Площадь помещений общего пользования: теплоцентр - 30,9 кв.м, л/клетки - 348,1кв.м, всего - 379 кв.м.  Количество лестниц - 4 с уб. площадью 382,9 кв.м. Уборочная площадь общих коридоров - нет. Площадь крыши - 793кв.м. Площадь земельного участка, входящего в состав общего имущества МКД - 2859 кв.м. Площадь придомовой территории: тротуаты - 338 кв. м, газоны - 627 кв.м, дворовые территории 438 кв.м, всего 1403 кв.м.   </t>
  </si>
  <si>
    <t>Муниципальное бюджетное учреждение "Управление муниципальной собственностью (служба заказчика)" ЗАТО Видяево; начальник Юрий Васильевич Сидиченко</t>
  </si>
  <si>
    <t>Мытье лестничных площадок и маршей ниже 3 этажа1 раз в 5 мес. * влажная уборка почтовых ящиков, плинтусов и окон 1 раз в 7 мес.</t>
  </si>
  <si>
    <t>1 раз в 5 мес. и 1 раз в 7 мес.</t>
  </si>
  <si>
    <t xml:space="preserve">Организация и содержание мест накопления отработанных ртутьсодержащих ламп и их сдача в спец. организации </t>
  </si>
  <si>
    <t>Проверка герметичности стыков канализационных стояков и лежаков и устранение протечек, прочистка трубопроводов</t>
  </si>
  <si>
    <t xml:space="preserve"> Прочистка ливнеприемных воронок, ремонт организованного внутреннего водостока – мягкая кровля. Очистка  кровли от снега и наледи (сосулек) - скатная кровля</t>
  </si>
  <si>
    <t>1 раза в год</t>
  </si>
  <si>
    <t>Замена электролампочек в местах общего пользования с переходом на энергосберегающие</t>
  </si>
  <si>
    <t>Осмотр оборудования общего пользования в квартирах (водопровод, канализация, горячее водоснабжение и отопление)</t>
  </si>
  <si>
    <t>Замена разбитых стекол  окон до 0,1 кв.м с работой приставных лестниц с мелким ремонтом оконных переплетов</t>
  </si>
  <si>
    <t>Заделка и герметизация швов в местах примыкания балконных плит и козырьков подъездов</t>
  </si>
  <si>
    <t>Ремонт и восстановление МПШ</t>
  </si>
  <si>
    <t>Смена отдельных участков трубопроводов канализации из чугунных  труб  на полимерные</t>
  </si>
  <si>
    <t>Смена запорной арматуры до Ø 25 мм -Ø 50мм</t>
  </si>
  <si>
    <t>Затраты на обследование и ТР вентиляции в газовых домах</t>
  </si>
  <si>
    <t>Затраты на проведение поверок КПУ х/воды и тепловой энергии</t>
  </si>
  <si>
    <t>по мере необходимости, в том числе 1 раз в год - тех. осмотр</t>
  </si>
  <si>
    <t>I</t>
  </si>
  <si>
    <t>II</t>
  </si>
  <si>
    <t xml:space="preserve">Контроль объемов, качества, режима   предоставляемых  РСО коммунальных услуг с  оформление соответствующих актов, учет  объемов предоставленных услуг. Отчетность. </t>
  </si>
  <si>
    <t>Организация круглосуточного аварийно-диспетчерского обслуживания МКД, устранение аварий, выполнение заявок  пользователей жилыми помещениями в сроки, установленные  действующим законнодательством.</t>
  </si>
  <si>
    <t xml:space="preserve">Описание содержания каждой работы  </t>
  </si>
  <si>
    <t xml:space="preserve"> № п/п</t>
  </si>
  <si>
    <t>Периодичность выполнения работы (оказания услуги)</t>
  </si>
  <si>
    <t>Результат выполнения работы (оказания услуги)</t>
  </si>
  <si>
    <t>Гарантийный срок (в случае, если гарантия качества работ предусмотрена федеральным законом, иным нормативным правовым актом Российской Федерации или предлагается управляющей организацией)</t>
  </si>
  <si>
    <t xml:space="preserve">Информация о ценах (тарифах) на коммунальные ресурсы </t>
  </si>
  <si>
    <t>Поставщик ресурсов</t>
  </si>
  <si>
    <t>КОДЫ</t>
  </si>
  <si>
    <t xml:space="preserve">      На начало года</t>
  </si>
  <si>
    <t>На конец отчетного периода</t>
  </si>
  <si>
    <t>А К Т И В</t>
  </si>
  <si>
    <t>итого</t>
  </si>
  <si>
    <t>2</t>
  </si>
  <si>
    <t>6</t>
  </si>
  <si>
    <t>7</t>
  </si>
  <si>
    <t>I. Нефинансовые активы</t>
  </si>
  <si>
    <t>010</t>
  </si>
  <si>
    <t>011</t>
  </si>
  <si>
    <t>013</t>
  </si>
  <si>
    <t>014</t>
  </si>
  <si>
    <t>020</t>
  </si>
  <si>
    <t>021</t>
  </si>
  <si>
    <t>023</t>
  </si>
  <si>
    <t>024</t>
  </si>
  <si>
    <t>030</t>
  </si>
  <si>
    <t>031</t>
  </si>
  <si>
    <t>033</t>
  </si>
  <si>
    <t>034</t>
  </si>
  <si>
    <t>040</t>
  </si>
  <si>
    <t>042</t>
  </si>
  <si>
    <t>043</t>
  </si>
  <si>
    <t>050</t>
  </si>
  <si>
    <t>052</t>
  </si>
  <si>
    <t>053</t>
  </si>
  <si>
    <t>060</t>
  </si>
  <si>
    <t>062</t>
  </si>
  <si>
    <t>063</t>
  </si>
  <si>
    <t>070</t>
  </si>
  <si>
    <t>080</t>
  </si>
  <si>
    <t>090</t>
  </si>
  <si>
    <t>в недвижимое имущество учреждения (010610000)</t>
  </si>
  <si>
    <t>091</t>
  </si>
  <si>
    <t>в иное движимое имущество учреждения (010630000)</t>
  </si>
  <si>
    <t>093</t>
  </si>
  <si>
    <t>в предметы лизинга (010640000)</t>
  </si>
  <si>
    <t>094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</si>
  <si>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</si>
  <si>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</si>
  <si>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</si>
  <si>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</si>
  <si>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</si>
  <si>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</si>
  <si>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</si>
  <si>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</si>
  <si>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Постановление Министерство энергетики и ЖКХ Мурманской области от 31.08.2012 №6</t>
  </si>
  <si>
    <t xml:space="preserve">Стоимость ресурсов, по которым УО закупает их у РСО </t>
  </si>
  <si>
    <t>Перечень коммунальных ресурсов, которые УО закупает у РСО</t>
  </si>
  <si>
    <t>Тарифы (цены) для потребителей, установленные для РСО, у которых УО закупает коммунальные ресурсы</t>
  </si>
  <si>
    <t>Тарифы (цены) на коммунальные услуги, которые применяются УО для расчета размера платежей для потребителей</t>
  </si>
  <si>
    <t>110</t>
  </si>
  <si>
    <t>120</t>
  </si>
  <si>
    <t>130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</si>
  <si>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</si>
  <si>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</si>
  <si>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</si>
  <si>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</si>
  <si>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170</t>
  </si>
  <si>
    <t>денежные средства учреждения на лицевых счетах в органе казначейства (020111000)</t>
  </si>
  <si>
    <t>171</t>
  </si>
  <si>
    <t>172</t>
  </si>
  <si>
    <t>173</t>
  </si>
  <si>
    <t>денежные средства учреждения в кредитной организации в пути (020123000)</t>
  </si>
  <si>
    <t>174</t>
  </si>
  <si>
    <t>аккредитивы на счетах учреждения в кредитной организации (020126000)</t>
  </si>
  <si>
    <t>175</t>
  </si>
  <si>
    <t>денежные средства учреждения в иностранной валюте на счетах в кредитной организации (020127000)</t>
  </si>
  <si>
    <t>176</t>
  </si>
  <si>
    <t>касса (020134000)</t>
  </si>
  <si>
    <t>177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</si>
  <si>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</si>
  <si>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</si>
  <si>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</si>
  <si>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</si>
  <si>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210</t>
  </si>
  <si>
    <t>в том числе: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</si>
  <si>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</si>
  <si>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</si>
  <si>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</si>
  <si>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</si>
  <si>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</si>
  <si>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>230</t>
  </si>
  <si>
    <t>260</t>
  </si>
  <si>
    <t>290</t>
  </si>
  <si>
    <t>291</t>
  </si>
  <si>
    <t>в рамках целевых иностранных кредитов (заимствований) (020720000)</t>
  </si>
  <si>
    <t>292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</si>
  <si>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</si>
  <si>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</si>
  <si>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</si>
  <si>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</si>
  <si>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</si>
  <si>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>331</t>
  </si>
  <si>
    <t>333</t>
  </si>
  <si>
    <t>Вложения в финансовые активы (021500000)</t>
  </si>
  <si>
    <t>370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</si>
  <si>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</si>
  <si>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</si>
  <si>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</si>
  <si>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</si>
  <si>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</si>
  <si>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</si>
  <si>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410</t>
  </si>
  <si>
    <t>П А С С И В</t>
  </si>
  <si>
    <t>III. Обязательства</t>
  </si>
  <si>
    <t>470</t>
  </si>
  <si>
    <t>471</t>
  </si>
  <si>
    <t>472</t>
  </si>
  <si>
    <t>по долговым обязательствам в иностранной валюте (030140000)</t>
  </si>
  <si>
    <t>474</t>
  </si>
  <si>
    <t>490</t>
  </si>
  <si>
    <t>510</t>
  </si>
  <si>
    <t>511</t>
  </si>
  <si>
    <t>512</t>
  </si>
  <si>
    <t>расчеты по налогу на прибыль организаций (030303000)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</si>
  <si>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</si>
  <si>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</si>
  <si>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</si>
  <si>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</si>
  <si>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</si>
  <si>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</si>
  <si>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</si>
  <si>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</si>
  <si>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</si>
  <si>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</si>
  <si>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</si>
  <si>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</si>
  <si>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</si>
  <si>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</si>
  <si>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</si>
  <si>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</si>
  <si>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</si>
  <si>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</si>
  <si>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900</t>
  </si>
  <si>
    <t>Наименование показателя</t>
  </si>
  <si>
    <t>Итого</t>
  </si>
  <si>
    <t>Доходы от собственности</t>
  </si>
  <si>
    <t>061</t>
  </si>
  <si>
    <t>152</t>
  </si>
  <si>
    <t>поступления от международных финансовых организаций</t>
  </si>
  <si>
    <t>153</t>
  </si>
  <si>
    <t>160</t>
  </si>
  <si>
    <t>Доходы от операций с активами</t>
  </si>
  <si>
    <t>доходы от переоценки активов</t>
  </si>
  <si>
    <t>доходы от реализации активов</t>
  </si>
  <si>
    <t>092</t>
  </si>
  <si>
    <t>чрезвычайные доходы от операций с активами</t>
  </si>
  <si>
    <t>180</t>
  </si>
  <si>
    <t>200</t>
  </si>
  <si>
    <t>Оплата труда и начисления на выплаты по оплате труда</t>
  </si>
  <si>
    <t>заработная плата</t>
  </si>
  <si>
    <t>161</t>
  </si>
  <si>
    <t>162</t>
  </si>
  <si>
    <t>начисления на выплаты по оплате труда</t>
  </si>
  <si>
    <t>163</t>
  </si>
  <si>
    <t>Приобретение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</si>
  <si>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</si>
  <si>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</si>
  <si>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</si>
  <si>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</si>
  <si>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</si>
  <si>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</si>
  <si>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</si>
  <si>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</si>
  <si>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</si>
  <si>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</si>
  <si>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</si>
  <si>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</si>
  <si>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</si>
  <si>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190</t>
  </si>
  <si>
    <t>191</t>
  </si>
  <si>
    <t>231</t>
  </si>
  <si>
    <t>192</t>
  </si>
  <si>
    <t>232</t>
  </si>
  <si>
    <t>Безвозмездные перечисления организациям</t>
  </si>
  <si>
    <t>240</t>
  </si>
  <si>
    <t>241</t>
  </si>
  <si>
    <t>242</t>
  </si>
  <si>
    <t>Безвозмездные перечисления бюджетам</t>
  </si>
  <si>
    <t>250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</si>
  <si>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</si>
  <si>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</si>
  <si>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</si>
  <si>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</si>
  <si>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</si>
  <si>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261</t>
  </si>
  <si>
    <t>пособия по социальной помощи населению</t>
  </si>
  <si>
    <t>262</t>
  </si>
  <si>
    <t>водоотведение</t>
  </si>
  <si>
    <t>Кол-во комнат</t>
  </si>
  <si>
    <t>4 и более</t>
  </si>
  <si>
    <t>Кол-во чел.</t>
  </si>
  <si>
    <t>газ</t>
  </si>
  <si>
    <t>эл. плита</t>
  </si>
  <si>
    <t>5 и более</t>
  </si>
  <si>
    <t>кВт/час. в месяц на 1 чел.</t>
  </si>
  <si>
    <t>Приложение к п. 4 графа 9 приложения 12</t>
  </si>
  <si>
    <t>243</t>
  </si>
  <si>
    <t>263</t>
  </si>
  <si>
    <t xml:space="preserve">Расходы по операциям с активами </t>
  </si>
  <si>
    <t>270</t>
  </si>
  <si>
    <t>амортизация основных средств и нематериальных активов</t>
  </si>
  <si>
    <t>271</t>
  </si>
  <si>
    <t>расходование материальных запасов</t>
  </si>
  <si>
    <t>272</t>
  </si>
  <si>
    <t>чрезвычайные расходы по операциям с активами</t>
  </si>
  <si>
    <t>273</t>
  </si>
  <si>
    <t>Расходы будущих периодов</t>
  </si>
  <si>
    <t>Чистое поступление основных средств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</si>
  <si>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</si>
  <si>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</si>
  <si>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</si>
  <si>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</si>
  <si>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</si>
  <si>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</si>
  <si>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</si>
  <si>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</si>
  <si>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</si>
  <si>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</si>
  <si>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</si>
  <si>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</si>
  <si>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</si>
  <si>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</si>
  <si>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</si>
  <si>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</si>
  <si>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</si>
  <si>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</si>
  <si>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</si>
  <si>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</si>
  <si>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</si>
  <si>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</si>
  <si>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</si>
  <si>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</si>
  <si>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380</t>
  </si>
  <si>
    <t>390</t>
  </si>
  <si>
    <t>411</t>
  </si>
  <si>
    <t>412</t>
  </si>
  <si>
    <t>610</t>
  </si>
  <si>
    <t>421</t>
  </si>
  <si>
    <t>520</t>
  </si>
  <si>
    <t>422</t>
  </si>
  <si>
    <t>Чистое поступление акций и иных форм участия в капитале</t>
  </si>
  <si>
    <t>увеличение стоимости акций и иных форм участия в капитале</t>
  </si>
  <si>
    <t>441</t>
  </si>
  <si>
    <t>уменьшение стоимости акций и иных форм участия в капитале</t>
  </si>
  <si>
    <t>442</t>
  </si>
  <si>
    <t>630</t>
  </si>
  <si>
    <t>460</t>
  </si>
  <si>
    <t>461</t>
  </si>
  <si>
    <t>540</t>
  </si>
  <si>
    <t>462</t>
  </si>
  <si>
    <t>640</t>
  </si>
  <si>
    <t>550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</si>
  <si>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</si>
  <si>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</si>
  <si>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</si>
  <si>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</si>
  <si>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</si>
  <si>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</si>
  <si>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</si>
  <si>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</si>
  <si>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</si>
  <si>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</si>
  <si>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720</t>
  </si>
  <si>
    <t>820</t>
  </si>
  <si>
    <t>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</si>
  <si>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</si>
  <si>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</si>
  <si>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</si>
  <si>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</si>
  <si>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</si>
  <si>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Главный бухгалтер</t>
  </si>
  <si>
    <t>Реквизиты нормативных правовых актов (дата, номер, наименование принявшего акт органа), которыми установлены  тарифы (цены)</t>
  </si>
  <si>
    <t>Муниципальное образование</t>
  </si>
  <si>
    <t>Цены (тарифы) на жилищные услуги, которые применяются управляющей организацией для расчета размера платежей для потребителей</t>
  </si>
  <si>
    <t>Adobe Acrobat Document (.pdf)</t>
  </si>
  <si>
    <t>Капитальный ремонт</t>
  </si>
  <si>
    <t>Дата и номер Постановления (решения) о привлечении к ответственности (копии документов о применении мер административного воздействия предоставлять в виде Adobe Acrobat Document (.pdf) или TIFF (.tif) )</t>
  </si>
  <si>
    <t>Информация о стоимости работ (услуг) управляющей организации</t>
  </si>
  <si>
    <t>Наименование        населенного пункта</t>
  </si>
  <si>
    <t>Наименование населенного пункта</t>
  </si>
  <si>
    <t>Стоимость работы (услуги) в расчете  на 1 кв. метр общей площади помещений в многоквартирном доме</t>
  </si>
  <si>
    <t>Стоимость  работы (услуги) в расчете на 1 кв. метр площади отдельных объектов, относящихся к общему имуществу многоквартирного дома</t>
  </si>
  <si>
    <t>Стоимость  работы (услуги) в расчете на 1 пог. метр соответствующих инженерных сетей</t>
  </si>
  <si>
    <t>Стоимость работы (услуги) в расчете на 1 прибор учета соответствующего коммунального ресурса</t>
  </si>
  <si>
    <t>Приложение 1</t>
  </si>
  <si>
    <t>Приложение 2</t>
  </si>
  <si>
    <t>Приложение 3</t>
  </si>
  <si>
    <t>Приложение 4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</si>
  <si>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</si>
  <si>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</si>
  <si>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</si>
  <si>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</si>
  <si>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</si>
  <si>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</si>
  <si>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</si>
  <si>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Конструктивные особенности общего имущества многоквартирного дома</t>
  </si>
  <si>
    <t>Степень физического износа общего имущества многоквартирного дома</t>
  </si>
  <si>
    <t xml:space="preserve"> Техническое состояние общего имущества многоквартирного дома</t>
  </si>
  <si>
    <t xml:space="preserve"> Услуги, связанные с достижением целей управления многоквартирным домом, которые оказываются управляющей организацией, в том числе:
услуги, оказываемые управляющей организацией по обеспечению поставки в многоквартирный дом коммунальных ресурсов;
заключение от имени собственников помещений в многоквартирном доме договоров об использовании общего имущества собственников помещений в многоквартирном доме на условиях, определенных решением общего собрания (в том числе договоров на установку и эксплуатацию рекламных конструкций);
охрана подъезда;
охрана коллективных автостоянок;
учет собственников помещений в многоквартирном доме;
иные услуги по управлению многоквартирным домом.
</t>
  </si>
  <si>
    <t xml:space="preserve"> Услуги, оказываемые управляющей организацией в отношении общего имущества собственников помещений в многоквартирном доме, из числа услуг, указанных в Правилах содержания общего имущества в многоквартирном доме, утвержденных Постановлением Правительства Российской Федерации от 13 августа 2006 г. N 491:
</t>
  </si>
  <si>
    <t>Услуги, оказываемые управляющей организацией по обеспечению поставки в многоквартирный дом коммунальных ресурсов:</t>
  </si>
  <si>
    <t xml:space="preserve">Заключение от имени собственников помещений в многоквартирном доме договоров об использовании общего имущества собственников помещений в многоквартирном доме на условиях, определенных решением общего собрания (в том числе договоров на установку и эксплуатацию рекламных конструкций):
</t>
  </si>
  <si>
    <t>Охрана подъездов:</t>
  </si>
  <si>
    <t>Заключение договоров  на установку  домофонов. Заключение  договора на обслуживание домофонов. Контроль за соблюдением условий договоров и их исполнением, оформление соответствующих актов, расчет за выполненные работы.</t>
  </si>
  <si>
    <t>Охрана коллективных автостоянок:</t>
  </si>
  <si>
    <t>Охрана  не производится.</t>
  </si>
  <si>
    <t>Иные услуги по управлению многоквартирным домом:</t>
  </si>
  <si>
    <t xml:space="preserve">Претензионная работа с неплательщиками за ЖКУ. </t>
  </si>
  <si>
    <t>В случае предоставления коммунальных услуг ненадлежащего качества и (или) с перерывами, превышающими установленную продолжительность, проведение перерасчета  платы за коммунальные услуги в порядке, установленном в Правилах предоставления коммунальных услуг гражданам.</t>
  </si>
  <si>
    <t xml:space="preserve">Информирование  в письменной форме пользователей жилыми помещениями об изменениях  размера платы за  жилое помещение и  коммунальные услуги не позднее, чем за 30 дней до даты представления платежных документов, на основании которых будет вноситься плата за жилое помещение и коммунальные услуги в ином размере. </t>
  </si>
  <si>
    <t>Мониторинг  технического состояния МКД.</t>
  </si>
  <si>
    <t>а)</t>
  </si>
  <si>
    <t>I. Содержание помещений в местах общего пользования</t>
  </si>
  <si>
    <t>Подметание полов во всех помещениях общего пользования</t>
  </si>
  <si>
    <t>Очистка и уборка ступеней и площадок, крылец</t>
  </si>
  <si>
    <t>II. Уборка земельного участка входящего в состав многоквартирного дома</t>
  </si>
  <si>
    <t>Уборка земельного участка в летний период</t>
  </si>
  <si>
    <t>Уборка земельного участка в зимний период</t>
  </si>
  <si>
    <t>Уборка мусора на контейнерных площадках</t>
  </si>
  <si>
    <t>Вывоз твердых бытовых отходов (от населения)</t>
  </si>
  <si>
    <t>III. Обслуживание и текущий ремонт общего имущества многоквартирного дома</t>
  </si>
  <si>
    <t>Общие осмотры инженерного оборудования</t>
  </si>
  <si>
    <t>Промывка и опрессовка системы центрального отопления</t>
  </si>
  <si>
    <t>Удаление воздушных пробок из системы центрального отопления - при запуске отопления, непредвиденных остановках, при ремонтных работах на стояках отопления</t>
  </si>
  <si>
    <t>Проверка на прогрев отопительных приборов с регулировкой</t>
  </si>
  <si>
    <t>Устранение утечек в приборах отопления - по заявке нанимателей жилых помещений, после осмотров</t>
  </si>
  <si>
    <t>Устранение протечек в стояках и розливах ХГВС и их частичная замена (до 2-х метров)</t>
  </si>
  <si>
    <t>Ревизия -чистка фильтров отопления, регулировочных клапанов</t>
  </si>
  <si>
    <t>Ремонт запорной арматуры в тепловых узлах, на розливах и стояках системы центрального отопления (при обнаружении дефектов)</t>
  </si>
  <si>
    <t>Измерение сопротивления изоляции электрических сетей в местах общего пользования</t>
  </si>
  <si>
    <t>Осмотр электросетей, арматуры</t>
  </si>
  <si>
    <t xml:space="preserve">БАЛАНС  </t>
  </si>
  <si>
    <t>ГОСУДАРСТВЕННОГО (МУНИЦИПАЛЬНОГО) УЧРЕЖДЕНИЯ</t>
  </si>
  <si>
    <t>0503730</t>
  </si>
  <si>
    <t xml:space="preserve">             Дата</t>
  </si>
  <si>
    <t xml:space="preserve">        по ОКПО</t>
  </si>
  <si>
    <t xml:space="preserve">      по ОКАТО</t>
  </si>
  <si>
    <t xml:space="preserve">Наименование органа, </t>
  </si>
  <si>
    <t xml:space="preserve">осуществляющего                        </t>
  </si>
  <si>
    <t xml:space="preserve">   Глава по БК</t>
  </si>
  <si>
    <t>Периодичность:  годовая</t>
  </si>
  <si>
    <t xml:space="preserve">         по ОКЕИ</t>
  </si>
  <si>
    <t xml:space="preserve">383 </t>
  </si>
  <si>
    <t>Код</t>
  </si>
  <si>
    <t xml:space="preserve">На конец отчетного периода </t>
  </si>
  <si>
    <t>стро-</t>
  </si>
  <si>
    <t>деятельность</t>
  </si>
  <si>
    <t>средства во</t>
  </si>
  <si>
    <t>ки</t>
  </si>
  <si>
    <t>с целевыми</t>
  </si>
  <si>
    <t>по оказанию</t>
  </si>
  <si>
    <t>временном</t>
  </si>
  <si>
    <t>средствами</t>
  </si>
  <si>
    <t>услуг (работ)</t>
  </si>
  <si>
    <t>распоряжении</t>
  </si>
  <si>
    <t xml:space="preserve">Основные средства (балансовая стоимость, 010100000)*, всего                                                                                      </t>
  </si>
  <si>
    <t>-</t>
  </si>
  <si>
    <t xml:space="preserve">недвижимое имущество учреждения (010110000)* 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</si>
  <si>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</si>
  <si>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</si>
  <si>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</si>
  <si>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 xml:space="preserve">предметы лизинга (010140000)* </t>
  </si>
  <si>
    <t>Амортизация основных средств*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</si>
  <si>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</si>
  <si>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</si>
  <si>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</si>
  <si>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(010430000)* </t>
  </si>
  <si>
    <t>Амортизация предметов лизинга (010440000)*</t>
  </si>
  <si>
    <t xml:space="preserve">Основные средства (остаточная стоимость, стр.010 -  стр.020)                                                                                             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</si>
  <si>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</si>
  <si>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</si>
  <si>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</si>
  <si>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</si>
  <si>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 xml:space="preserve">предметы лизинга (остаточная стоимость, стр.014 -  стр.024)                                                                                             </t>
  </si>
  <si>
    <t xml:space="preserve">         Форма 0503730 с. 2</t>
  </si>
  <si>
    <t>деятельность с целевыми средствами</t>
  </si>
  <si>
    <t>деятельность по оказанию услуг (работ)</t>
  </si>
  <si>
    <t xml:space="preserve">Нематериальные активы (балансовая стоимость, 010200000)*, всего                                                           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</si>
  <si>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</si>
  <si>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</si>
  <si>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</si>
  <si>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предметы лизинга  (010240000) *</t>
  </si>
  <si>
    <t>Амортизация нематериальных активов *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</si>
  <si>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</si>
  <si>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</si>
  <si>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</si>
  <si>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предметов лизинга  (010449000) *</t>
  </si>
  <si>
    <t xml:space="preserve">Нематериальные активы (остаточная стоимость, стр. 040 -  стр.050)                                                                                              </t>
  </si>
  <si>
    <t>особо ценное имущество учреждения (остаточная стоимость, стр.041 - стр.051)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</si>
  <si>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</si>
  <si>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 xml:space="preserve">предметы лизинга (остаточная стоимость, стр. 043 -  стр.053)                                                                                              </t>
  </si>
  <si>
    <t xml:space="preserve">Непроизведенные активы (балансовая стоимость, 010300000)                                                                                             </t>
  </si>
  <si>
    <t>Материальные запасы (010500000)</t>
  </si>
  <si>
    <t>особо ценное движимое имущество учреждения (010520000)*</t>
  </si>
  <si>
    <t>081</t>
  </si>
  <si>
    <t>Вложения в нефинансовые активы (010600000)</t>
  </si>
  <si>
    <t>в особо ценное движимое имущество учреждения (010620000)</t>
  </si>
  <si>
    <t>средства во временном распоряжении</t>
  </si>
  <si>
    <t>особо ценное имущество учреждения в пути (010720000)</t>
  </si>
  <si>
    <t>102</t>
  </si>
  <si>
    <t>Денежные средства учреждения (020100000)</t>
  </si>
  <si>
    <t>денежные средства учреждения в органе казначейства в пути  (020113000)</t>
  </si>
  <si>
    <t>денежные средства учреждения на счетах в кредитной организации (020121000)</t>
  </si>
  <si>
    <t>Финансовые вложения (020400000)</t>
  </si>
  <si>
    <t>ценные бумаги, кроме акций  (020420000)</t>
  </si>
  <si>
    <t xml:space="preserve">         Форма 0503730 с. 4</t>
  </si>
  <si>
    <t>Расчеты по выданным авансам (020600000)</t>
  </si>
  <si>
    <t>Расчеты по кредитам, займам (ссудам) (020700000)</t>
  </si>
  <si>
    <t>по представленным кредитам, займам (ссудам) (020710000)</t>
  </si>
  <si>
    <t>Расчеты с подотчетными лицами (020800000)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</si>
  <si>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</si>
  <si>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</si>
  <si>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расчеты с прочими дебиторами (021005000)</t>
  </si>
  <si>
    <t>335</t>
  </si>
  <si>
    <t>расчеты с учредителем (021006000)*</t>
  </si>
  <si>
    <t>336</t>
  </si>
  <si>
    <t>Х</t>
  </si>
  <si>
    <t>показатель уменьшения балансовой стоимости ОЦИ*</t>
  </si>
  <si>
    <t>337</t>
  </si>
  <si>
    <t>чистая стоимость ОЦИ (стр. 336 + стр. 337)</t>
  </si>
  <si>
    <t>338</t>
  </si>
  <si>
    <t>ценные бумаги, кроме акций  (021520000)</t>
  </si>
  <si>
    <t>деятелность по оказанию услуг (работ)</t>
  </si>
  <si>
    <t>Расчеты с кредиторами по долговым обязательствам (030100000)</t>
  </si>
  <si>
    <t>по долговым обязательствам в рублях (030110000)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</si>
  <si>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</si>
  <si>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</si>
  <si>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</si>
  <si>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 (030302000, 030306000)</t>
  </si>
  <si>
    <t>Стоимость работы (услуги) в расчете  на 1 кв. метр общей площади помещений в многоквартирном доме с 01.01.2014 по 28.02.2014</t>
  </si>
  <si>
    <t>Стоимость  работы (услуги) в расчете на 1 пог. метр соответствующих инженерных сетей с 01.01.2014 по 28.02.2014</t>
  </si>
  <si>
    <t>Стоимость работы (услуги) в расчете  на 1 кв. метр общей площади помещений в многоквартирном доме с 01.03.2014 по 31.05.2014</t>
  </si>
  <si>
    <t>Стоимость  работы (услуги) в расчете на 1 пог. метр соответствующих инженерных сетей с 01.03.2014 по 31.05.2014</t>
  </si>
  <si>
    <t xml:space="preserve">Степень износа на 01.01.2014 г. </t>
  </si>
  <si>
    <t>Утв. приказом Минфина РФ от 25 марта 2011 г. № 33н</t>
  </si>
  <si>
    <t>(в ред. от 26 октября 2012 г.)</t>
  </si>
  <si>
    <t>на  1 января 2014 г.</t>
  </si>
  <si>
    <t>Форма по ОКУД</t>
  </si>
  <si>
    <t>полномочия учредителя</t>
  </si>
  <si>
    <t>Администрация ЗАТО пос.Видяево</t>
  </si>
  <si>
    <t>Единица измерения: руб.</t>
  </si>
  <si>
    <t>из них</t>
  </si>
  <si>
    <t>Форма 0503730 с. 3</t>
  </si>
  <si>
    <t>Итого по разделу I 
(стр.030 + стр.060 + стр.070 + стр.080 + стр.090 + стр.100  + стр. 140)</t>
  </si>
  <si>
    <t xml:space="preserve"> в том числе</t>
  </si>
  <si>
    <t xml:space="preserve">Код  </t>
  </si>
  <si>
    <t>Расчеты по доходам (020500000)</t>
  </si>
  <si>
    <t>Итого по разделу II (стр.170  + стр.210 + стр.230 + стр.260 + стр.290 + стр.310 + стр.320 + стр. 330 + стр.370 )</t>
  </si>
  <si>
    <t>БАЛАНС (стр. 150 + стр. 400)</t>
  </si>
  <si>
    <t xml:space="preserve">         Форма 0503730 с. 5</t>
  </si>
  <si>
    <t>по долговым обязательствам по целевым иностранным кредитам (заимствованиям) (030120000)</t>
  </si>
  <si>
    <t xml:space="preserve">         Форма 0503730 с. 6</t>
  </si>
  <si>
    <t xml:space="preserve">Код </t>
  </si>
  <si>
    <t xml:space="preserve">стро- </t>
  </si>
  <si>
    <t xml:space="preserve"> из них</t>
  </si>
  <si>
    <t>Итого по разделу III (стр.470+ стр.490 + стр. 510 + стр.530)</t>
  </si>
  <si>
    <t>Финансовый результат хозяйствующего субъекта (040100000) (стр.623 + стр.623.1 + стр.624 + стр.625)</t>
  </si>
  <si>
    <t>Форма 0503730 с. 7</t>
  </si>
  <si>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</si>
  <si>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</si>
  <si>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</si>
  <si>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</si>
  <si>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забалан-</t>
  </si>
  <si>
    <t>забалансового счета,</t>
  </si>
  <si>
    <t>деятельность  с целевыми средствами</t>
  </si>
  <si>
    <t xml:space="preserve">сового </t>
  </si>
  <si>
    <t>показателя</t>
  </si>
  <si>
    <t>счета</t>
  </si>
  <si>
    <t>01</t>
  </si>
  <si>
    <t>Имущество, полученное в пользование, всего</t>
  </si>
  <si>
    <t xml:space="preserve"> -</t>
  </si>
  <si>
    <t xml:space="preserve"> недвижимое</t>
  </si>
  <si>
    <t xml:space="preserve">    из них</t>
  </si>
  <si>
    <t xml:space="preserve">   непроизведенное</t>
  </si>
  <si>
    <t xml:space="preserve"> движимое</t>
  </si>
  <si>
    <t>015</t>
  </si>
  <si>
    <t>02</t>
  </si>
  <si>
    <t>Материальные ценности, принятые на хранение, всего</t>
  </si>
  <si>
    <t>03</t>
  </si>
  <si>
    <t>Бланки строгой отчетности, всего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</si>
  <si>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</si>
  <si>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</si>
  <si>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</si>
  <si>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</t>
  </si>
  <si>
    <t xml:space="preserve"> основные средства</t>
  </si>
  <si>
    <t xml:space="preserve">  из них</t>
  </si>
  <si>
    <t xml:space="preserve"> особо ценное движимое имущество</t>
  </si>
  <si>
    <t xml:space="preserve">                        </t>
  </si>
  <si>
    <t xml:space="preserve"> Форма 0503730 с. 8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</si>
  <si>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</si>
  <si>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</si>
  <si>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</si>
  <si>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</si>
  <si>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</si>
  <si>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</si>
  <si>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сувениры, всего</t>
  </si>
  <si>
    <t xml:space="preserve"> в условной оценке</t>
  </si>
  <si>
    <t>071</t>
  </si>
  <si>
    <t xml:space="preserve">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</si>
  <si>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</si>
  <si>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</si>
  <si>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</si>
  <si>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</si>
  <si>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</si>
  <si>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</si>
  <si>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всего</t>
  </si>
  <si>
    <t xml:space="preserve"> задаток</t>
  </si>
  <si>
    <t xml:space="preserve"> залог</t>
  </si>
  <si>
    <t xml:space="preserve"> банковская гарантия</t>
  </si>
  <si>
    <t xml:space="preserve"> поручительство</t>
  </si>
  <si>
    <t xml:space="preserve"> 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</si>
  <si>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</si>
  <si>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</si>
  <si>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</si>
  <si>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13</t>
  </si>
  <si>
    <t>Экспериментальные устройства</t>
  </si>
  <si>
    <t>Форма 0503730 с. 9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</si>
  <si>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</si>
  <si>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</si>
  <si>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</si>
  <si>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</si>
  <si>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</si>
  <si>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 на счета учреждения, всего</t>
  </si>
  <si>
    <t xml:space="preserve"> доходы</t>
  </si>
  <si>
    <t xml:space="preserve"> расходы</t>
  </si>
  <si>
    <t xml:space="preserve"> источники финансирования дефицита средств учреждения</t>
  </si>
  <si>
    <t>18</t>
  </si>
  <si>
    <t xml:space="preserve">Выбытия денежных средств со счетов учреждения, всего </t>
  </si>
  <si>
    <t>181</t>
  </si>
  <si>
    <t>182</t>
  </si>
  <si>
    <t>20</t>
  </si>
  <si>
    <t>Задолженность, невостребованная кредиторами, всего</t>
  </si>
  <si>
    <t>21</t>
  </si>
  <si>
    <t>Основные средства стоимостью до 3000 рублей включительно в эксплуатации, всего</t>
  </si>
  <si>
    <t xml:space="preserve"> иное движимое имущество</t>
  </si>
  <si>
    <t xml:space="preserve"> Форма 0503730 с.10</t>
  </si>
  <si>
    <t>22</t>
  </si>
  <si>
    <t>Материальные ценности, полученные по централизованному снабжению, всего</t>
  </si>
  <si>
    <t xml:space="preserve"> основные средства </t>
  </si>
  <si>
    <t xml:space="preserve"> материальные запасы</t>
  </si>
  <si>
    <t>23</t>
  </si>
  <si>
    <t>Периодические издания для пользования, всего</t>
  </si>
  <si>
    <t>24</t>
  </si>
  <si>
    <t>Имущество, переданное в доверительное управление, всего</t>
  </si>
  <si>
    <t xml:space="preserve"> недвижимое имущество</t>
  </si>
  <si>
    <t xml:space="preserve"> 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</si>
  <si>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</si>
  <si>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</si>
  <si>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</si>
  <si>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</si>
  <si>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</si>
  <si>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</si>
  <si>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251</t>
  </si>
  <si>
    <t xml:space="preserve">                         </t>
  </si>
  <si>
    <t>Форма 0503730 с.11</t>
  </si>
  <si>
    <t>1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</si>
  <si>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</si>
  <si>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</si>
  <si>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</si>
  <si>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</si>
  <si>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</si>
  <si>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</si>
  <si>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265</t>
  </si>
  <si>
    <t>266</t>
  </si>
  <si>
    <t>267</t>
  </si>
  <si>
    <t>___________________________</t>
  </si>
  <si>
    <t xml:space="preserve">Главный бухгалтер  </t>
  </si>
  <si>
    <t xml:space="preserve">                                                                       </t>
  </si>
  <si>
    <t xml:space="preserve">(подпись)  </t>
  </si>
  <si>
    <t xml:space="preserve">            Централизованная бухгалтерия</t>
  </si>
  <si>
    <t xml:space="preserve">              (наименование ОГРН, ИНН, КПП, местонахождение )</t>
  </si>
  <si>
    <t xml:space="preserve">Руководитель                 </t>
  </si>
  <si>
    <t xml:space="preserve">(уполномоченное лицо) </t>
  </si>
  <si>
    <t xml:space="preserve">(должность)  </t>
  </si>
  <si>
    <t xml:space="preserve">Исполнитель  </t>
  </si>
  <si>
    <t xml:space="preserve">                                      </t>
  </si>
  <si>
    <t xml:space="preserve"> (подпись) </t>
  </si>
  <si>
    <t xml:space="preserve">(расшифровка подписи)     </t>
  </si>
  <si>
    <t>(телефон, e-mail)</t>
  </si>
  <si>
    <t>"________"    _______________  20 ___  г.</t>
  </si>
  <si>
    <t>Утв. приказом Минфина РФ</t>
  </si>
  <si>
    <t>от 25 марта 2011 г. № 33н</t>
  </si>
  <si>
    <t>ОТЧЕТ  О ФИНАНСОВЫХ РЕЗУЛЬТАТАХ ДЕЯТЕЛЬНОСТИ УЧРЕЖДЕНИЯ</t>
  </si>
  <si>
    <t xml:space="preserve">                                                             на 1 января 2014 г.</t>
  </si>
  <si>
    <t>по ОКПО</t>
  </si>
  <si>
    <t xml:space="preserve">                    по ОКАТО</t>
  </si>
  <si>
    <t>Глава по БК</t>
  </si>
  <si>
    <t>Периодичность годовая</t>
  </si>
  <si>
    <t>Единица измерения руб.</t>
  </si>
  <si>
    <t xml:space="preserve">                 по ОКЕИ</t>
  </si>
  <si>
    <t>Деятельность с целевыми средствами</t>
  </si>
  <si>
    <t>Деятельность по оказанию услуг (работ)</t>
  </si>
  <si>
    <t>Средства во временном распоряжении</t>
  </si>
  <si>
    <t>Деятельность по оказа-</t>
  </si>
  <si>
    <t>Средства во времен-</t>
  </si>
  <si>
    <t>с целевыми средствами</t>
  </si>
  <si>
    <t>нию услуг (работ)</t>
  </si>
  <si>
    <t>ном распоряжении</t>
  </si>
  <si>
    <t>4</t>
  </si>
  <si>
    <t>5</t>
  </si>
  <si>
    <t>безвозмездные перечисления организациям, за исключением</t>
  </si>
  <si>
    <t>государственных и муниципальных организаций</t>
  </si>
  <si>
    <t>Чистый операционный результат (стр.301 - стр.302), (стр.310 + стр.380)</t>
  </si>
  <si>
    <t>Операционный результат до налогообложения  (стр.010 - стр.150)</t>
  </si>
  <si>
    <t>Операции с нефинансовыми активами (стр.320 + стр.330 + стр.350 + стр.360 + стр.370)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</si>
  <si>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</si>
  <si>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+стр.480)</t>
  </si>
  <si>
    <t>Чистое поступление средств учреждений</t>
  </si>
  <si>
    <t>Операции с обязательствами (стр.520 + стр.530 + стр.540)</t>
  </si>
  <si>
    <t xml:space="preserve">Исполнитель     </t>
  </si>
  <si>
    <t>Объем закупаемых ресурсов за 2013 год</t>
  </si>
  <si>
    <t>366 385,71 куб.м.</t>
  </si>
  <si>
    <t>75 460 кг</t>
  </si>
  <si>
    <t>7 416 326,10 кВт/час</t>
  </si>
  <si>
    <t>27628,74 Гкал</t>
  </si>
  <si>
    <t>7 820 417 руб.</t>
  </si>
  <si>
    <t>5 093 821 руб.</t>
  </si>
  <si>
    <t>74 168 037 руб</t>
  </si>
  <si>
    <t>6 771 302 руб.</t>
  </si>
  <si>
    <t>11 159 372 руб.</t>
  </si>
  <si>
    <r>
      <t>С 01.01.2014 по 30.06.2014</t>
    </r>
    <r>
      <rPr>
        <sz val="10"/>
        <color indexed="8"/>
        <rFont val="Times New Roman"/>
        <family val="2"/>
      </rPr>
      <t xml:space="preserve">            1 куб. м                                                    18,45 руб. (без НДС)                          21,771 руб. (с НДС)                                    </t>
    </r>
    <r>
      <rPr>
        <u val="single"/>
        <sz val="10"/>
        <color indexed="8"/>
        <rFont val="Times New Roman"/>
        <family val="1"/>
      </rPr>
      <t>С 01.07.2014 по 31.12.2014</t>
    </r>
    <r>
      <rPr>
        <sz val="10"/>
        <color indexed="8"/>
        <rFont val="Times New Roman"/>
        <family val="2"/>
      </rPr>
      <t xml:space="preserve">            1 куб. м                                                    20,30 руб. (без НДС)                          23,954 руб. (с НДС)</t>
    </r>
  </si>
  <si>
    <r>
      <t>С 01.01.2014 по 30.06.2014</t>
    </r>
    <r>
      <rPr>
        <sz val="10"/>
        <color indexed="8"/>
        <rFont val="Times New Roman"/>
        <family val="2"/>
      </rPr>
      <t xml:space="preserve">           1 куб. м                                                    12,16руб. (без НДС)                          14,349 руб. (с НДС)                                    </t>
    </r>
    <r>
      <rPr>
        <u val="single"/>
        <sz val="10"/>
        <color indexed="8"/>
        <rFont val="Times New Roman"/>
        <family val="1"/>
      </rPr>
      <t>С 01.07.2014 по 31.12.2014</t>
    </r>
    <r>
      <rPr>
        <sz val="10"/>
        <color indexed="8"/>
        <rFont val="Times New Roman"/>
        <family val="2"/>
      </rPr>
      <t xml:space="preserve">           1 куб. м                                                    13,78 руб. (без НДС)                         16,260 руб. (с НДС)</t>
    </r>
  </si>
  <si>
    <t xml:space="preserve"> Постановление Управления по тарифному регулированию Мурмаснкой области от 20.12.2013 № 59/1</t>
  </si>
  <si>
    <t>Приказе Министерства энергетики и ЖКХ Мурманской области от 31.05.2013 №72</t>
  </si>
  <si>
    <t>Для квартиросъемщиков, установивших  инд. приборы учета,  1 куб. м  с 01.01.2014 - 21,771 руб. (с НДС), с 01.07.2014 г. - 23,954 руб. (с НДС); при отсутставии инд. приборов учета по нормативу 5,35 куб. м - с 01.01.2013 - 116,47 руб. на 1 чел. в мес. (с НДС), с 01.07.2014 - 128,15 руб. на 1 чел. в мес. (с НДС).</t>
  </si>
  <si>
    <t>Для квартиросъемщиков, установивших  индивидуальные приборы учета, с 01.01.2014 по 30.06.2014   1 куб. м - 14,349руб. (с НДС); при отсутставии инд. приборов учета по нормативу 8,52 куб. м - 122,25 руб. на 1 чел. в мес. (с НДС), с 01.07.2014 по 31.12.2014  1 куб. м - 16,260 руб., по нормативу - 138,54 руб.</t>
  </si>
  <si>
    <r>
      <t>С 01.01.2014 по 30.06.2014</t>
    </r>
    <r>
      <rPr>
        <sz val="10"/>
        <color indexed="8"/>
        <rFont val="Times New Roman"/>
        <family val="1"/>
      </rPr>
      <t xml:space="preserve">           1 Гкал                                                    2322,96 руб. (без НДС)                      2741,09 руб. (с НДС)                                    </t>
    </r>
    <r>
      <rPr>
        <u val="single"/>
        <sz val="10"/>
        <color indexed="8"/>
        <rFont val="Times New Roman"/>
        <family val="1"/>
      </rPr>
      <t>С 01.07.2014</t>
    </r>
    <r>
      <rPr>
        <sz val="10"/>
        <color indexed="8"/>
        <rFont val="Times New Roman"/>
        <family val="1"/>
      </rPr>
      <t xml:space="preserve">                                           1 Гкал                                                 2420,52 руб. (без НДС)                      2856,21 руб. (с НДС)</t>
    </r>
  </si>
  <si>
    <t xml:space="preserve">Постановление Управления по тарифному регулированию Мурманской области от 13.12.2013 № 54/1  </t>
  </si>
  <si>
    <t>Приказ Министерства энергетики и ЖКХ Мурманской области от 31.05.2013 №71</t>
  </si>
  <si>
    <r>
      <t>С 01.08.2013 г</t>
    </r>
    <r>
      <rPr>
        <sz val="10"/>
        <color indexed="8"/>
        <rFont val="Times New Roman"/>
        <family val="2"/>
      </rPr>
      <t>.                                   1 кг   62,10 руб. (с НДС)                       1 куб. м  131,56 руб. (с НДС)</t>
    </r>
  </si>
  <si>
    <t xml:space="preserve">Постановление Правительства Мурманской области от 10.07.2013 №382-ПП </t>
  </si>
  <si>
    <t>Для квартиросъемщиков, установивших инд. приборы учета, с 01.01.2014 г. 1куб.м  131,56 руб.; при отсутствии инд. приборов учета  по нормативу 6,944 кг  -   с 01.01.2014 г. 431,22 руб. на 1 чел в месяц (с НДС)</t>
  </si>
  <si>
    <r>
      <t xml:space="preserve">Одноставочный тариф 1кВт/час. </t>
    </r>
    <r>
      <rPr>
        <u val="single"/>
        <sz val="10"/>
        <color indexed="8"/>
        <rFont val="Times New Roman"/>
        <family val="1"/>
      </rPr>
      <t>с 01.01.2014 - 30.06.2014</t>
    </r>
    <r>
      <rPr>
        <sz val="10"/>
        <color indexed="8"/>
        <rFont val="Times New Roman"/>
        <family val="2"/>
      </rPr>
      <t xml:space="preserve"> - 1,638 руб. (с НДС),  </t>
    </r>
    <r>
      <rPr>
        <u val="single"/>
        <sz val="10"/>
        <color indexed="8"/>
        <rFont val="Times New Roman"/>
        <family val="1"/>
      </rPr>
      <t>с 01.07.2014 по 31.12.2014г.</t>
    </r>
    <r>
      <rPr>
        <sz val="10"/>
        <color indexed="8"/>
        <rFont val="Times New Roman"/>
        <family val="2"/>
      </rPr>
      <t xml:space="preserve">  - 1,708 руб. (с НДС)</t>
    </r>
  </si>
  <si>
    <t xml:space="preserve"> Постановление Управления по тарифному регулированию Мурмаснкой области от 19.12.2013 № 58/2</t>
  </si>
  <si>
    <t>С 01.01.2014 по 30.06.2014 для квартиросъемщиков, установивших инд. приборы учета, 1 кВт/час.1,638руб (с НДС), при отсутствии  инд. приборов учета по нормативу кВт/час. в месяц на 1 чел. (см. примечание); с 01.07.2014 по 31.12.2014 - 1 квт/час. 1,7088 руб.</t>
  </si>
  <si>
    <r>
      <t>Отопление</t>
    </r>
    <r>
      <rPr>
        <sz val="10"/>
        <color indexed="8"/>
        <rFont val="Times New Roman"/>
        <family val="1"/>
      </rPr>
      <t xml:space="preserve"> - норматив для кирпичных домов 0,02503 Гкал, для панельных домов - 0,02410 Гкал на 1 кв.м жил. пл.   За 1 кв.м. с 01.01.2014 соответственно 68,61 руб и 66,06 руб.; с 01.07.2014 соответственно - 71,49 руб. и 68,83 руб. </t>
    </r>
    <r>
      <rPr>
        <u val="single"/>
        <sz val="10"/>
        <color indexed="8"/>
        <rFont val="Times New Roman"/>
        <family val="1"/>
      </rPr>
      <t>Горячая вода</t>
    </r>
    <r>
      <rPr>
        <sz val="10"/>
        <color indexed="8"/>
        <rFont val="Times New Roman"/>
        <family val="1"/>
      </rPr>
      <t xml:space="preserve"> для квартиросъемщиков, установивших  инд. приборы учета, 1 куб.м. с 01.01.2014 г.- 198,57 руб., с 01.07.2014 - 208,18 руб.; при отсутствии инд. приборов по нормативу 3,17 куб. м - с 01.01.2014 - 629,47 руб., с 01.07.2014 - 659,93 руб. на 1 чел. в месяц (с НДС)</t>
    </r>
  </si>
  <si>
    <t xml:space="preserve">  </t>
  </si>
  <si>
    <t>с 01.03.2014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</si>
</sst>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;[Red]\-0.00"/>
    <numFmt numFmtId="167" formatCode="0.0000000"/>
    <numFmt numFmtId="168" formatCode="0.000000"/>
    <numFmt numFmtId="169" formatCode="0.00000"/>
    <numFmt numFmtId="170" formatCode="0.0000"/>
    <numFmt numFmtId="171" formatCode="0.0%"/>
  </numFmts>
  <fonts count="70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  <font>
      <sz val="8"/>
      <name val="Times New Roman"/>
      <family val="2"/>
    </font>
    <font>
      <b/>
      <sz val="10"/>
      <color indexed="8"/>
      <name val="Times New Roman"/>
      <family val="2"/>
    </font>
    <font>
      <sz val="10"/>
      <name val="Times New Roman"/>
      <family val="1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0"/>
      <name val="Arial"/>
      <family val="0"/>
    </font>
    <font>
      <u val="single"/>
      <sz val="10"/>
      <color indexed="12"/>
      <name val="Times New Roman"/>
      <family val="2"/>
    </font>
    <font>
      <i/>
      <sz val="10"/>
      <color indexed="8"/>
      <name val="Times New Roman"/>
      <family val="2"/>
    </font>
    <font>
      <sz val="7"/>
      <name val="Times New Roman"/>
      <family val="1"/>
    </font>
    <font>
      <u val="single"/>
      <sz val="10"/>
      <color indexed="8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thin">
        <color rgb="FF000000"/>
      </bottom>
    </border>
    <border>
      <left style="medium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>
        <color rgb="FF000000"/>
      </right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medium"/>
      <right style="thin">
        <color rgb="FF000000"/>
      </right>
      <top style="thin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/>
    </border>
    <border>
      <left style="medium"/>
      <right style="thin">
        <color rgb="FF000000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10" xfId="42" applyFont="1" applyBorder="1" applyAlignment="1" applyProtection="1">
      <alignment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 wrapText="1"/>
    </xf>
    <xf numFmtId="0" fontId="11" fillId="0" borderId="10" xfId="54" applyFont="1" applyFill="1" applyBorder="1" applyAlignment="1">
      <alignment wrapText="1"/>
      <protection/>
    </xf>
    <xf numFmtId="0" fontId="11" fillId="0" borderId="15" xfId="54" applyFont="1" applyFill="1" applyBorder="1" applyAlignment="1">
      <alignment wrapText="1"/>
      <protection/>
    </xf>
    <xf numFmtId="0" fontId="11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11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NumberFormat="1" applyFont="1" applyFill="1" applyAlignment="1" applyProtection="1">
      <alignment/>
      <protection/>
    </xf>
    <xf numFmtId="0" fontId="20" fillId="0" borderId="0" xfId="0" applyNumberFormat="1" applyFont="1" applyFill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horizontal="right"/>
      <protection/>
    </xf>
    <xf numFmtId="49" fontId="9" fillId="0" borderId="22" xfId="0" applyNumberFormat="1" applyFont="1" applyFill="1" applyBorder="1" applyAlignment="1" applyProtection="1">
      <alignment horizontal="center"/>
      <protection/>
    </xf>
    <xf numFmtId="0" fontId="19" fillId="0" borderId="23" xfId="0" applyNumberFormat="1" applyFont="1" applyFill="1" applyBorder="1" applyAlignment="1" applyProtection="1">
      <alignment/>
      <protection/>
    </xf>
    <xf numFmtId="14" fontId="9" fillId="0" borderId="24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 horizontal="right"/>
      <protection/>
    </xf>
    <xf numFmtId="0" fontId="11" fillId="0" borderId="2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horizontal="left" wrapText="1"/>
      <protection/>
    </xf>
    <xf numFmtId="0" fontId="9" fillId="0" borderId="0" xfId="0" applyNumberFormat="1" applyFont="1" applyFill="1" applyAlignment="1" applyProtection="1">
      <alignment horizontal="left" wrapText="1"/>
      <protection/>
    </xf>
    <xf numFmtId="0" fontId="9" fillId="0" borderId="21" xfId="0" applyNumberFormat="1" applyFont="1" applyFill="1" applyBorder="1" applyAlignment="1" applyProtection="1">
      <alignment horizontal="right" wrapText="1"/>
      <protection/>
    </xf>
    <xf numFmtId="49" fontId="9" fillId="0" borderId="26" xfId="0" applyNumberFormat="1" applyFont="1" applyFill="1" applyBorder="1" applyAlignment="1" applyProtection="1">
      <alignment horizontal="center" wrapText="1"/>
      <protection/>
    </xf>
    <xf numFmtId="0" fontId="19" fillId="0" borderId="23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23" fillId="0" borderId="0" xfId="0" applyNumberFormat="1" applyFont="1" applyFill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/>
    </xf>
    <xf numFmtId="49" fontId="9" fillId="0" borderId="2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49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49" fontId="9" fillId="0" borderId="24" xfId="0" applyNumberFormat="1" applyFont="1" applyFill="1" applyBorder="1" applyAlignment="1" applyProtection="1">
      <alignment horizontal="center" shrinkToFit="1"/>
      <protection/>
    </xf>
    <xf numFmtId="49" fontId="9" fillId="0" borderId="27" xfId="0" applyNumberFormat="1" applyFont="1" applyFill="1" applyBorder="1" applyAlignment="1" applyProtection="1">
      <alignment/>
      <protection/>
    </xf>
    <xf numFmtId="0" fontId="9" fillId="0" borderId="27" xfId="0" applyNumberFormat="1" applyFont="1" applyFill="1" applyBorder="1" applyAlignment="1" applyProtection="1">
      <alignment/>
      <protection/>
    </xf>
    <xf numFmtId="0" fontId="11" fillId="0" borderId="27" xfId="0" applyNumberFormat="1" applyFont="1" applyFill="1" applyBorder="1" applyAlignment="1" applyProtection="1">
      <alignment/>
      <protection/>
    </xf>
    <xf numFmtId="49" fontId="9" fillId="0" borderId="25" xfId="0" applyNumberFormat="1" applyFont="1" applyFill="1" applyBorder="1" applyAlignment="1" applyProtection="1">
      <alignment/>
      <protection/>
    </xf>
    <xf numFmtId="49" fontId="9" fillId="0" borderId="26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/>
      <protection/>
    </xf>
    <xf numFmtId="49" fontId="9" fillId="0" borderId="24" xfId="0" applyNumberFormat="1" applyFont="1" applyFill="1" applyBorder="1" applyAlignment="1" applyProtection="1">
      <alignment horizontal="center"/>
      <protection/>
    </xf>
    <xf numFmtId="49" fontId="9" fillId="0" borderId="28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left"/>
      <protection/>
    </xf>
    <xf numFmtId="49" fontId="9" fillId="0" borderId="19" xfId="0" applyNumberFormat="1" applyFont="1" applyFill="1" applyBorder="1" applyAlignment="1" applyProtection="1">
      <alignment/>
      <protection/>
    </xf>
    <xf numFmtId="49" fontId="9" fillId="0" borderId="29" xfId="0" applyNumberFormat="1" applyFont="1" applyFill="1" applyBorder="1" applyAlignment="1" applyProtection="1">
      <alignment/>
      <protection/>
    </xf>
    <xf numFmtId="0" fontId="23" fillId="0" borderId="30" xfId="0" applyNumberFormat="1" applyFont="1" applyFill="1" applyBorder="1" applyAlignment="1" applyProtection="1">
      <alignment/>
      <protection/>
    </xf>
    <xf numFmtId="0" fontId="9" fillId="0" borderId="31" xfId="0" applyNumberFormat="1" applyFont="1" applyFill="1" applyBorder="1" applyAlignment="1" applyProtection="1">
      <alignment/>
      <protection/>
    </xf>
    <xf numFmtId="0" fontId="9" fillId="0" borderId="3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/>
      <protection/>
    </xf>
    <xf numFmtId="0" fontId="9" fillId="0" borderId="33" xfId="0" applyNumberFormat="1" applyFont="1" applyFill="1" applyBorder="1" applyAlignment="1" applyProtection="1">
      <alignment/>
      <protection/>
    </xf>
    <xf numFmtId="0" fontId="9" fillId="0" borderId="32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27" xfId="0" applyNumberFormat="1" applyFont="1" applyFill="1" applyBorder="1" applyAlignment="1" applyProtection="1">
      <alignment horizontal="center" wrapText="1"/>
      <protection/>
    </xf>
    <xf numFmtId="0" fontId="25" fillId="0" borderId="21" xfId="0" applyNumberFormat="1" applyFont="1" applyFill="1" applyBorder="1" applyAlignment="1" applyProtection="1">
      <alignment horizontal="center" wrapText="1"/>
      <protection/>
    </xf>
    <xf numFmtId="49" fontId="9" fillId="0" borderId="35" xfId="0" applyNumberFormat="1" applyFont="1" applyFill="1" applyBorder="1" applyAlignment="1" applyProtection="1">
      <alignment horizontal="center"/>
      <protection/>
    </xf>
    <xf numFmtId="2" fontId="9" fillId="0" borderId="36" xfId="0" applyNumberFormat="1" applyFont="1" applyFill="1" applyBorder="1" applyAlignment="1" applyProtection="1">
      <alignment horizontal="center"/>
      <protection/>
    </xf>
    <xf numFmtId="2" fontId="9" fillId="0" borderId="37" xfId="0" applyNumberFormat="1" applyFont="1" applyFill="1" applyBorder="1" applyAlignment="1" applyProtection="1">
      <alignment horizontal="center"/>
      <protection/>
    </xf>
    <xf numFmtId="0" fontId="9" fillId="0" borderId="38" xfId="0" applyNumberFormat="1" applyFont="1" applyFill="1" applyBorder="1" applyAlignment="1" applyProtection="1">
      <alignment wrapText="1"/>
      <protection/>
    </xf>
    <xf numFmtId="49" fontId="9" fillId="0" borderId="21" xfId="0" applyNumberFormat="1" applyFont="1" applyFill="1" applyBorder="1" applyAlignment="1" applyProtection="1">
      <alignment shrinkToFit="1"/>
      <protection/>
    </xf>
    <xf numFmtId="49" fontId="9" fillId="0" borderId="39" xfId="0" applyNumberFormat="1" applyFon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right" shrinkToFit="1"/>
      <protection/>
    </xf>
    <xf numFmtId="4" fontId="9" fillId="0" borderId="40" xfId="0" applyNumberFormat="1" applyFont="1" applyFill="1" applyBorder="1" applyAlignment="1" applyProtection="1">
      <alignment horizontal="right" shrinkToFit="1"/>
      <protection/>
    </xf>
    <xf numFmtId="0" fontId="9" fillId="0" borderId="41" xfId="0" applyNumberFormat="1" applyFont="1" applyFill="1" applyBorder="1" applyAlignment="1" applyProtection="1">
      <alignment horizontal="left" wrapText="1" indent="2"/>
      <protection/>
    </xf>
    <xf numFmtId="49" fontId="9" fillId="0" borderId="21" xfId="0" applyNumberFormat="1" applyFont="1" applyFill="1" applyBorder="1" applyAlignment="1" applyProtection="1">
      <alignment horizontal="left" shrinkToFit="1"/>
      <protection/>
    </xf>
    <xf numFmtId="49" fontId="9" fillId="0" borderId="42" xfId="0" applyNumberFormat="1" applyFont="1" applyFill="1" applyBorder="1" applyAlignment="1" applyProtection="1">
      <alignment horizontal="center"/>
      <protection/>
    </xf>
    <xf numFmtId="4" fontId="9" fillId="0" borderId="14" xfId="0" applyNumberFormat="1" applyFont="1" applyFill="1" applyBorder="1" applyAlignment="1" applyProtection="1">
      <alignment horizontal="center"/>
      <protection/>
    </xf>
    <xf numFmtId="4" fontId="9" fillId="0" borderId="43" xfId="0" applyNumberFormat="1" applyFont="1" applyFill="1" applyBorder="1" applyAlignment="1" applyProtection="1">
      <alignment horizontal="center"/>
      <protection/>
    </xf>
    <xf numFmtId="0" fontId="9" fillId="0" borderId="38" xfId="0" applyNumberFormat="1" applyFont="1" applyFill="1" applyBorder="1" applyAlignment="1" applyProtection="1">
      <alignment horizontal="left" wrapText="1" indent="2"/>
      <protection/>
    </xf>
    <xf numFmtId="0" fontId="9" fillId="0" borderId="44" xfId="0" applyNumberFormat="1" applyFont="1" applyFill="1" applyBorder="1" applyAlignment="1" applyProtection="1">
      <alignment horizontal="left" wrapText="1" indent="2"/>
      <protection/>
    </xf>
    <xf numFmtId="49" fontId="9" fillId="0" borderId="45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shrinkToFit="1"/>
      <protection/>
    </xf>
    <xf numFmtId="4" fontId="9" fillId="0" borderId="46" xfId="0" applyNumberFormat="1" applyFont="1" applyFill="1" applyBorder="1" applyAlignment="1" applyProtection="1">
      <alignment horizontal="right" shrinkToFit="1"/>
      <protection/>
    </xf>
    <xf numFmtId="0" fontId="9" fillId="0" borderId="44" xfId="0" applyNumberFormat="1" applyFont="1" applyFill="1" applyBorder="1" applyAlignment="1" applyProtection="1">
      <alignment horizontal="left" wrapText="1"/>
      <protection/>
    </xf>
    <xf numFmtId="0" fontId="9" fillId="0" borderId="44" xfId="0" applyNumberFormat="1" applyFont="1" applyFill="1" applyBorder="1" applyAlignment="1" applyProtection="1">
      <alignment wrapText="1"/>
      <protection/>
    </xf>
    <xf numFmtId="49" fontId="9" fillId="0" borderId="47" xfId="0" applyNumberFormat="1" applyFont="1" applyFill="1" applyBorder="1" applyAlignment="1" applyProtection="1">
      <alignment horizontal="center"/>
      <protection/>
    </xf>
    <xf numFmtId="4" fontId="9" fillId="0" borderId="20" xfId="0" applyNumberFormat="1" applyFont="1" applyFill="1" applyBorder="1" applyAlignment="1" applyProtection="1">
      <alignment horizontal="right" shrinkToFit="1"/>
      <protection/>
    </xf>
    <xf numFmtId="4" fontId="9" fillId="0" borderId="48" xfId="0" applyNumberFormat="1" applyFont="1" applyFill="1" applyBorder="1" applyAlignment="1" applyProtection="1">
      <alignment horizontal="right" shrinkToFit="1"/>
      <protection/>
    </xf>
    <xf numFmtId="49" fontId="9" fillId="34" borderId="41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horizontal="left" shrinkToFit="1"/>
      <protection/>
    </xf>
    <xf numFmtId="49" fontId="9" fillId="0" borderId="49" xfId="0" applyNumberFormat="1" applyFont="1" applyFill="1" applyBorder="1" applyAlignment="1" applyProtection="1">
      <alignment horizontal="center"/>
      <protection/>
    </xf>
    <xf numFmtId="2" fontId="9" fillId="0" borderId="49" xfId="0" applyNumberFormat="1" applyFont="1" applyFill="1" applyBorder="1" applyAlignment="1" applyProtection="1">
      <alignment horizontal="right" shrinkToFi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left" wrapText="1" indent="4"/>
      <protection/>
    </xf>
    <xf numFmtId="49" fontId="9" fillId="0" borderId="19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center"/>
      <protection/>
    </xf>
    <xf numFmtId="0" fontId="19" fillId="0" borderId="5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9" fillId="0" borderId="3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3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left" wrapText="1"/>
      <protection/>
    </xf>
    <xf numFmtId="49" fontId="9" fillId="0" borderId="53" xfId="0" applyNumberFormat="1" applyFont="1" applyFill="1" applyBorder="1" applyAlignment="1" applyProtection="1">
      <alignment horizontal="center"/>
      <protection/>
    </xf>
    <xf numFmtId="4" fontId="9" fillId="0" borderId="54" xfId="0" applyNumberFormat="1" applyFont="1" applyFill="1" applyBorder="1" applyAlignment="1" applyProtection="1">
      <alignment horizontal="right" shrinkToFit="1"/>
      <protection/>
    </xf>
    <xf numFmtId="4" fontId="9" fillId="0" borderId="55" xfId="0" applyNumberFormat="1" applyFont="1" applyFill="1" applyBorder="1" applyAlignment="1" applyProtection="1">
      <alignment horizontal="right" shrinkToFit="1"/>
      <protection/>
    </xf>
    <xf numFmtId="0" fontId="9" fillId="0" borderId="41" xfId="0" applyNumberFormat="1" applyFont="1" applyFill="1" applyBorder="1" applyAlignment="1" applyProtection="1">
      <alignment horizontal="left" wrapText="1" indent="4"/>
      <protection/>
    </xf>
    <xf numFmtId="49" fontId="9" fillId="0" borderId="21" xfId="0" applyNumberFormat="1" applyFont="1" applyFill="1" applyBorder="1" applyAlignment="1" applyProtection="1">
      <alignment horizontal="left" indent="4" shrinkToFit="1"/>
      <protection/>
    </xf>
    <xf numFmtId="0" fontId="9" fillId="0" borderId="38" xfId="0" applyNumberFormat="1" applyFont="1" applyFill="1" applyBorder="1" applyAlignment="1" applyProtection="1">
      <alignment horizontal="left" wrapText="1" indent="4"/>
      <protection/>
    </xf>
    <xf numFmtId="0" fontId="9" fillId="0" borderId="44" xfId="0" applyNumberFormat="1" applyFont="1" applyFill="1" applyBorder="1" applyAlignment="1" applyProtection="1">
      <alignment horizontal="left" wrapText="1" indent="4"/>
      <protection/>
    </xf>
    <xf numFmtId="49" fontId="9" fillId="0" borderId="0" xfId="0" applyNumberFormat="1" applyFont="1" applyFill="1" applyAlignment="1" applyProtection="1">
      <alignment horizontal="left" indent="4" shrinkToFit="1"/>
      <protection/>
    </xf>
    <xf numFmtId="49" fontId="9" fillId="34" borderId="0" xfId="0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horizontal="center"/>
      <protection/>
    </xf>
    <xf numFmtId="2" fontId="9" fillId="0" borderId="0" xfId="0" applyNumberFormat="1" applyFont="1" applyFill="1" applyAlignment="1" applyProtection="1">
      <alignment horizontal="right" shrinkToFi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56" xfId="0" applyNumberFormat="1" applyFont="1" applyFill="1" applyBorder="1" applyAlignment="1" applyProtection="1">
      <alignment horizontal="left" wrapText="1"/>
      <protection/>
    </xf>
    <xf numFmtId="0" fontId="25" fillId="0" borderId="57" xfId="0" applyNumberFormat="1" applyFont="1" applyFill="1" applyBorder="1" applyAlignment="1" applyProtection="1">
      <alignment horizontal="left" wrapText="1"/>
      <protection/>
    </xf>
    <xf numFmtId="49" fontId="25" fillId="0" borderId="58" xfId="0" applyNumberFormat="1" applyFont="1" applyFill="1" applyBorder="1" applyAlignment="1" applyProtection="1">
      <alignment horizontal="left" shrinkToFit="1"/>
      <protection/>
    </xf>
    <xf numFmtId="49" fontId="9" fillId="0" borderId="59" xfId="0" applyNumberFormat="1" applyFont="1" applyFill="1" applyBorder="1" applyAlignment="1" applyProtection="1">
      <alignment horizontal="center"/>
      <protection/>
    </xf>
    <xf numFmtId="4" fontId="9" fillId="0" borderId="60" xfId="0" applyNumberFormat="1" applyFont="1" applyFill="1" applyBorder="1" applyAlignment="1" applyProtection="1">
      <alignment horizontal="right" shrinkToFit="1"/>
      <protection/>
    </xf>
    <xf numFmtId="4" fontId="9" fillId="0" borderId="61" xfId="0" applyNumberFormat="1" applyFont="1" applyFill="1" applyBorder="1" applyAlignment="1" applyProtection="1">
      <alignment horizontal="right" shrinkToFit="1"/>
      <protection/>
    </xf>
    <xf numFmtId="0" fontId="25" fillId="0" borderId="49" xfId="0" applyNumberFormat="1" applyFont="1" applyFill="1" applyBorder="1" applyAlignment="1" applyProtection="1">
      <alignment horizontal="center" wrapText="1"/>
      <protection/>
    </xf>
    <xf numFmtId="49" fontId="25" fillId="0" borderId="62" xfId="0" applyNumberFormat="1" applyFont="1" applyFill="1" applyBorder="1" applyAlignment="1" applyProtection="1">
      <alignment horizontal="center" shrinkToFit="1"/>
      <protection/>
    </xf>
    <xf numFmtId="4" fontId="9" fillId="0" borderId="36" xfId="0" applyNumberFormat="1" applyFont="1" applyFill="1" applyBorder="1" applyAlignment="1" applyProtection="1">
      <alignment horizontal="center"/>
      <protection/>
    </xf>
    <xf numFmtId="4" fontId="9" fillId="0" borderId="37" xfId="0" applyNumberFormat="1" applyFont="1" applyFill="1" applyBorder="1" applyAlignment="1" applyProtection="1">
      <alignment horizontal="center"/>
      <protection/>
    </xf>
    <xf numFmtId="0" fontId="9" fillId="0" borderId="38" xfId="0" applyNumberFormat="1" applyFont="1" applyFill="1" applyBorder="1" applyAlignment="1" applyProtection="1">
      <alignment horizontal="left" wrapText="1"/>
      <protection/>
    </xf>
    <xf numFmtId="0" fontId="9" fillId="0" borderId="41" xfId="0" applyNumberFormat="1" applyFont="1" applyFill="1" applyBorder="1" applyAlignment="1" applyProtection="1">
      <alignment horizontal="left" wrapText="1"/>
      <protection/>
    </xf>
    <xf numFmtId="0" fontId="9" fillId="0" borderId="49" xfId="0" applyNumberFormat="1" applyFont="1" applyFill="1" applyBorder="1" applyAlignment="1" applyProtection="1">
      <alignment horizontal="center"/>
      <protection/>
    </xf>
    <xf numFmtId="0" fontId="9" fillId="0" borderId="49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0" fontId="9" fillId="0" borderId="56" xfId="0" applyNumberFormat="1" applyFont="1" applyFill="1" applyBorder="1" applyAlignment="1" applyProtection="1">
      <alignment horizontal="left" wrapText="1" indent="4"/>
      <protection/>
    </xf>
    <xf numFmtId="49" fontId="9" fillId="0" borderId="63" xfId="0" applyNumberFormat="1" applyFont="1" applyFill="1" applyBorder="1" applyAlignment="1" applyProtection="1">
      <alignment horizontal="left" indent="4" shrinkToFit="1"/>
      <protection/>
    </xf>
    <xf numFmtId="0" fontId="9" fillId="0" borderId="18" xfId="0" applyNumberFormat="1" applyFont="1" applyFill="1" applyBorder="1" applyAlignment="1" applyProtection="1">
      <alignment horizontal="left" wrapText="1" indent="4"/>
      <protection/>
    </xf>
    <xf numFmtId="49" fontId="9" fillId="0" borderId="64" xfId="0" applyNumberFormat="1" applyFont="1" applyFill="1" applyBorder="1" applyAlignment="1" applyProtection="1">
      <alignment horizontal="left" indent="4" shrinkToFit="1"/>
      <protection/>
    </xf>
    <xf numFmtId="49" fontId="25" fillId="0" borderId="65" xfId="0" applyNumberFormat="1" applyFont="1" applyFill="1" applyBorder="1" applyAlignment="1" applyProtection="1">
      <alignment horizontal="left" shrinkToFit="1"/>
      <protection/>
    </xf>
    <xf numFmtId="0" fontId="25" fillId="0" borderId="66" xfId="0" applyNumberFormat="1" applyFont="1" applyFill="1" applyBorder="1" applyAlignment="1" applyProtection="1">
      <alignment horizontal="left" wrapText="1"/>
      <protection/>
    </xf>
    <xf numFmtId="49" fontId="25" fillId="0" borderId="67" xfId="0" applyNumberFormat="1" applyFont="1" applyFill="1" applyBorder="1" applyAlignment="1" applyProtection="1">
      <alignment horizontal="left" shrinkToFit="1"/>
      <protection/>
    </xf>
    <xf numFmtId="0" fontId="9" fillId="0" borderId="49" xfId="0" applyNumberFormat="1" applyFont="1" applyFill="1" applyBorder="1" applyAlignment="1" applyProtection="1">
      <alignment horizontal="left" wrapText="1"/>
      <protection/>
    </xf>
    <xf numFmtId="49" fontId="25" fillId="0" borderId="49" xfId="0" applyNumberFormat="1" applyFont="1" applyFill="1" applyBorder="1" applyAlignment="1" applyProtection="1">
      <alignment horizontal="left" shrinkToFit="1"/>
      <protection/>
    </xf>
    <xf numFmtId="49" fontId="25" fillId="0" borderId="0" xfId="0" applyNumberFormat="1" applyFont="1" applyFill="1" applyAlignment="1" applyProtection="1">
      <alignment horizontal="left" shrinkToFit="1"/>
      <protection/>
    </xf>
    <xf numFmtId="0" fontId="9" fillId="0" borderId="19" xfId="0" applyNumberFormat="1" applyFont="1" applyFill="1" applyBorder="1" applyAlignment="1" applyProtection="1">
      <alignment horizontal="left" wrapText="1"/>
      <protection/>
    </xf>
    <xf numFmtId="0" fontId="25" fillId="0" borderId="27" xfId="0" applyNumberFormat="1" applyFont="1" applyFill="1" applyBorder="1" applyAlignment="1" applyProtection="1">
      <alignment horizontal="center" wrapText="1"/>
      <protection/>
    </xf>
    <xf numFmtId="0" fontId="9" fillId="0" borderId="36" xfId="0" applyNumberFormat="1" applyFont="1" applyFill="1" applyBorder="1" applyAlignment="1" applyProtection="1">
      <alignment horizontal="center"/>
      <protection/>
    </xf>
    <xf numFmtId="0" fontId="9" fillId="0" borderId="37" xfId="0" applyNumberFormat="1" applyFont="1" applyFill="1" applyBorder="1" applyAlignment="1" applyProtection="1">
      <alignment horizontal="center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70" xfId="0" applyNumberFormat="1" applyFont="1" applyFill="1" applyBorder="1" applyAlignment="1" applyProtection="1">
      <alignment horizontal="center" vertic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0" fontId="25" fillId="0" borderId="71" xfId="0" applyNumberFormat="1" applyFont="1" applyFill="1" applyBorder="1" applyAlignment="1" applyProtection="1">
      <alignment horizontal="left" wrapText="1"/>
      <protection/>
    </xf>
    <xf numFmtId="49" fontId="25" fillId="0" borderId="21" xfId="0" applyNumberFormat="1" applyFont="1" applyFill="1" applyBorder="1" applyAlignment="1" applyProtection="1">
      <alignment horizontal="left" shrinkToFit="1"/>
      <protection/>
    </xf>
    <xf numFmtId="49" fontId="25" fillId="0" borderId="21" xfId="0" applyNumberFormat="1" applyFont="1" applyFill="1" applyBorder="1" applyAlignment="1" applyProtection="1">
      <alignment horizontal="center" shrinkToFit="1"/>
      <protection/>
    </xf>
    <xf numFmtId="0" fontId="9" fillId="0" borderId="41" xfId="0" applyNumberFormat="1" applyFont="1" applyFill="1" applyBorder="1" applyAlignment="1" applyProtection="1">
      <alignment horizontal="left" wrapText="1" indent="3"/>
      <protection/>
    </xf>
    <xf numFmtId="4" fontId="9" fillId="0" borderId="46" xfId="0" applyNumberFormat="1" applyFont="1" applyFill="1" applyBorder="1" applyAlignment="1" applyProtection="1">
      <alignment horizontal="center"/>
      <protection/>
    </xf>
    <xf numFmtId="0" fontId="9" fillId="0" borderId="38" xfId="0" applyNumberFormat="1" applyFont="1" applyFill="1" applyBorder="1" applyAlignment="1" applyProtection="1">
      <alignment horizontal="left" wrapText="1" indent="3"/>
      <protection/>
    </xf>
    <xf numFmtId="49" fontId="9" fillId="0" borderId="72" xfId="0" applyNumberFormat="1" applyFont="1" applyFill="1" applyBorder="1" applyAlignment="1" applyProtection="1">
      <alignment horizontal="center"/>
      <protection/>
    </xf>
    <xf numFmtId="0" fontId="9" fillId="0" borderId="44" xfId="0" applyNumberFormat="1" applyFont="1" applyFill="1" applyBorder="1" applyAlignment="1" applyProtection="1">
      <alignment horizontal="left" wrapText="1" indent="3"/>
      <protection/>
    </xf>
    <xf numFmtId="49" fontId="9" fillId="0" borderId="73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 shrinkToFit="1"/>
      <protection/>
    </xf>
    <xf numFmtId="0" fontId="9" fillId="0" borderId="71" xfId="0" applyNumberFormat="1" applyFont="1" applyFill="1" applyBorder="1" applyAlignment="1" applyProtection="1">
      <alignment horizontal="left" wrapText="1" indent="3"/>
      <protection/>
    </xf>
    <xf numFmtId="49" fontId="9" fillId="0" borderId="58" xfId="0" applyNumberFormat="1" applyFont="1" applyFill="1" applyBorder="1" applyAlignment="1" applyProtection="1">
      <alignment horizontal="left" shrinkToFit="1"/>
      <protection/>
    </xf>
    <xf numFmtId="49" fontId="11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6" fillId="0" borderId="74" xfId="0" applyNumberFormat="1" applyFont="1" applyFill="1" applyBorder="1" applyAlignment="1" applyProtection="1">
      <alignment/>
      <protection/>
    </xf>
    <xf numFmtId="0" fontId="9" fillId="0" borderId="75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76" xfId="0" applyNumberFormat="1" applyFont="1" applyFill="1" applyBorder="1" applyAlignment="1" applyProtection="1">
      <alignment horizontal="center" vertical="center"/>
      <protection/>
    </xf>
    <xf numFmtId="49" fontId="9" fillId="0" borderId="77" xfId="0" applyNumberFormat="1" applyFont="1" applyFill="1" applyBorder="1" applyAlignment="1" applyProtection="1">
      <alignment horizontal="center"/>
      <protection/>
    </xf>
    <xf numFmtId="0" fontId="9" fillId="0" borderId="78" xfId="0" applyNumberFormat="1" applyFont="1" applyFill="1" applyBorder="1" applyAlignment="1" applyProtection="1">
      <alignment wrapText="1"/>
      <protection/>
    </xf>
    <xf numFmtId="4" fontId="19" fillId="0" borderId="54" xfId="0" applyNumberFormat="1" applyFont="1" applyFill="1" applyBorder="1" applyAlignment="1" applyProtection="1">
      <alignment horizontal="right" shrinkToFit="1"/>
      <protection/>
    </xf>
    <xf numFmtId="4" fontId="19" fillId="0" borderId="55" xfId="0" applyNumberFormat="1" applyFont="1" applyFill="1" applyBorder="1" applyAlignment="1" applyProtection="1">
      <alignment horizontal="right" shrinkToFit="1"/>
      <protection/>
    </xf>
    <xf numFmtId="0" fontId="26" fillId="0" borderId="23" xfId="0" applyNumberFormat="1" applyFont="1" applyFill="1" applyBorder="1" applyAlignment="1" applyProtection="1">
      <alignment/>
      <protection/>
    </xf>
    <xf numFmtId="49" fontId="9" fillId="0" borderId="79" xfId="0" applyNumberFormat="1" applyFont="1" applyFill="1" applyBorder="1" applyAlignment="1" applyProtection="1">
      <alignment horizontal="center"/>
      <protection/>
    </xf>
    <xf numFmtId="0" fontId="9" fillId="0" borderId="80" xfId="0" applyNumberFormat="1" applyFont="1" applyFill="1" applyBorder="1" applyAlignment="1" applyProtection="1">
      <alignment horizontal="left" wrapText="1" indent="2"/>
      <protection/>
    </xf>
    <xf numFmtId="4" fontId="27" fillId="0" borderId="14" xfId="0" applyNumberFormat="1" applyFont="1" applyFill="1" applyBorder="1" applyAlignment="1" applyProtection="1">
      <alignment horizontal="right" shrinkToFit="1"/>
      <protection/>
    </xf>
    <xf numFmtId="4" fontId="9" fillId="0" borderId="14" xfId="0" applyNumberFormat="1" applyFont="1" applyFill="1" applyBorder="1" applyAlignment="1" applyProtection="1">
      <alignment horizontal="right" shrinkToFit="1"/>
      <protection/>
    </xf>
    <xf numFmtId="4" fontId="9" fillId="0" borderId="43" xfId="0" applyNumberFormat="1" applyFont="1" applyFill="1" applyBorder="1" applyAlignment="1" applyProtection="1">
      <alignment horizontal="right" shrinkToFit="1"/>
      <protection/>
    </xf>
    <xf numFmtId="0" fontId="9" fillId="0" borderId="81" xfId="0" applyNumberFormat="1" applyFont="1" applyFill="1" applyBorder="1" applyAlignment="1" applyProtection="1">
      <alignment horizontal="left" wrapText="1" indent="2"/>
      <protection/>
    </xf>
    <xf numFmtId="4" fontId="19" fillId="0" borderId="13" xfId="0" applyNumberFormat="1" applyFont="1" applyFill="1" applyBorder="1" applyAlignment="1" applyProtection="1">
      <alignment horizontal="right" shrinkToFit="1"/>
      <protection/>
    </xf>
    <xf numFmtId="4" fontId="19" fillId="0" borderId="40" xfId="0" applyNumberFormat="1" applyFont="1" applyFill="1" applyBorder="1" applyAlignment="1" applyProtection="1">
      <alignment horizontal="right" shrinkToFit="1"/>
      <protection/>
    </xf>
    <xf numFmtId="0" fontId="9" fillId="0" borderId="80" xfId="0" applyNumberFormat="1" applyFont="1" applyFill="1" applyBorder="1" applyAlignment="1" applyProtection="1">
      <alignment horizontal="left" wrapText="1" indent="3"/>
      <protection/>
    </xf>
    <xf numFmtId="0" fontId="9" fillId="0" borderId="81" xfId="0" applyNumberFormat="1" applyFont="1" applyFill="1" applyBorder="1" applyAlignment="1" applyProtection="1">
      <alignment horizontal="left" wrapText="1" indent="3"/>
      <protection/>
    </xf>
    <xf numFmtId="0" fontId="9" fillId="0" borderId="82" xfId="0" applyNumberFormat="1" applyFont="1" applyFill="1" applyBorder="1" applyAlignment="1" applyProtection="1">
      <alignment horizontal="left" wrapText="1" indent="2"/>
      <protection/>
    </xf>
    <xf numFmtId="4" fontId="19" fillId="0" borderId="10" xfId="0" applyNumberFormat="1" applyFont="1" applyFill="1" applyBorder="1" applyAlignment="1" applyProtection="1">
      <alignment horizontal="right" shrinkToFit="1"/>
      <protection/>
    </xf>
    <xf numFmtId="4" fontId="19" fillId="0" borderId="46" xfId="0" applyNumberFormat="1" applyFont="1" applyFill="1" applyBorder="1" applyAlignment="1" applyProtection="1">
      <alignment horizontal="right" shrinkToFit="1"/>
      <protection/>
    </xf>
    <xf numFmtId="4" fontId="27" fillId="0" borderId="10" xfId="0" applyNumberFormat="1" applyFont="1" applyFill="1" applyBorder="1" applyAlignment="1" applyProtection="1">
      <alignment horizontal="right" shrinkToFit="1"/>
      <protection/>
    </xf>
    <xf numFmtId="49" fontId="9" fillId="34" borderId="26" xfId="0" applyNumberFormat="1" applyFont="1" applyFill="1" applyBorder="1" applyAlignment="1" applyProtection="1">
      <alignment horizontal="center"/>
      <protection/>
    </xf>
    <xf numFmtId="0" fontId="9" fillId="34" borderId="83" xfId="0" applyNumberFormat="1" applyFont="1" applyFill="1" applyBorder="1" applyAlignment="1" applyProtection="1">
      <alignment wrapText="1"/>
      <protection/>
    </xf>
    <xf numFmtId="49" fontId="9" fillId="34" borderId="45" xfId="0" applyNumberFormat="1" applyFont="1" applyFill="1" applyBorder="1" applyAlignment="1" applyProtection="1">
      <alignment horizontal="center"/>
      <protection/>
    </xf>
    <xf numFmtId="4" fontId="27" fillId="34" borderId="10" xfId="0" applyNumberFormat="1" applyFont="1" applyFill="1" applyBorder="1" applyAlignment="1" applyProtection="1">
      <alignment horizontal="right" shrinkToFit="1"/>
      <protection/>
    </xf>
    <xf numFmtId="4" fontId="9" fillId="34" borderId="10" xfId="0" applyNumberFormat="1" applyFont="1" applyFill="1" applyBorder="1" applyAlignment="1" applyProtection="1">
      <alignment horizontal="right" shrinkToFit="1"/>
      <protection/>
    </xf>
    <xf numFmtId="4" fontId="9" fillId="34" borderId="46" xfId="0" applyNumberFormat="1" applyFont="1" applyFill="1" applyBorder="1" applyAlignment="1" applyProtection="1">
      <alignment horizontal="right" shrinkToFit="1"/>
      <protection/>
    </xf>
    <xf numFmtId="49" fontId="9" fillId="0" borderId="25" xfId="0" applyNumberFormat="1" applyFont="1" applyFill="1" applyBorder="1" applyAlignment="1" applyProtection="1">
      <alignment horizontal="center"/>
      <protection/>
    </xf>
    <xf numFmtId="4" fontId="27" fillId="0" borderId="13" xfId="0" applyNumberFormat="1" applyFont="1" applyFill="1" applyBorder="1" applyAlignment="1" applyProtection="1">
      <alignment horizontal="right" shrinkToFit="1"/>
      <protection/>
    </xf>
    <xf numFmtId="0" fontId="9" fillId="0" borderId="83" xfId="0" applyNumberFormat="1" applyFont="1" applyFill="1" applyBorder="1" applyAlignment="1" applyProtection="1">
      <alignment wrapText="1"/>
      <protection/>
    </xf>
    <xf numFmtId="49" fontId="9" fillId="0" borderId="84" xfId="0" applyNumberFormat="1" applyFont="1" applyFill="1" applyBorder="1" applyAlignment="1" applyProtection="1">
      <alignment horizontal="center"/>
      <protection/>
    </xf>
    <xf numFmtId="49" fontId="9" fillId="0" borderId="85" xfId="0" applyNumberFormat="1" applyFont="1" applyFill="1" applyBorder="1" applyAlignment="1" applyProtection="1">
      <alignment horizontal="center"/>
      <protection/>
    </xf>
    <xf numFmtId="4" fontId="19" fillId="0" borderId="86" xfId="0" applyNumberFormat="1" applyFont="1" applyFill="1" applyBorder="1" applyAlignment="1" applyProtection="1">
      <alignment horizontal="right" shrinkToFit="1"/>
      <protection/>
    </xf>
    <xf numFmtId="4" fontId="19" fillId="0" borderId="87" xfId="0" applyNumberFormat="1" applyFont="1" applyFill="1" applyBorder="1" applyAlignment="1" applyProtection="1">
      <alignment horizontal="right" shrinkToFit="1"/>
      <protection/>
    </xf>
    <xf numFmtId="49" fontId="9" fillId="34" borderId="49" xfId="0" applyNumberFormat="1" applyFont="1" applyFill="1" applyBorder="1" applyAlignment="1" applyProtection="1">
      <alignment horizontal="center"/>
      <protection/>
    </xf>
    <xf numFmtId="0" fontId="9" fillId="34" borderId="41" xfId="0" applyNumberFormat="1" applyFont="1" applyFill="1" applyBorder="1" applyAlignment="1" applyProtection="1">
      <alignment wrapText="1"/>
      <protection/>
    </xf>
    <xf numFmtId="0" fontId="27" fillId="34" borderId="49" xfId="0" applyNumberFormat="1" applyFont="1" applyFill="1" applyBorder="1" applyAlignment="1" applyProtection="1">
      <alignment/>
      <protection/>
    </xf>
    <xf numFmtId="0" fontId="9" fillId="34" borderId="49" xfId="0" applyNumberFormat="1" applyFont="1" applyFill="1" applyBorder="1" applyAlignment="1" applyProtection="1">
      <alignment/>
      <protection/>
    </xf>
    <xf numFmtId="0" fontId="9" fillId="0" borderId="49" xfId="0" applyNumberFormat="1" applyFont="1" applyFill="1" applyBorder="1" applyAlignment="1" applyProtection="1">
      <alignment horizontal="left"/>
      <protection/>
    </xf>
    <xf numFmtId="0" fontId="26" fillId="0" borderId="49" xfId="0" applyNumberFormat="1" applyFont="1" applyFill="1" applyBorder="1" applyAlignment="1" applyProtection="1">
      <alignment/>
      <protection/>
    </xf>
    <xf numFmtId="0" fontId="9" fillId="34" borderId="0" xfId="0" applyNumberFormat="1" applyFont="1" applyFill="1" applyAlignment="1" applyProtection="1">
      <alignment wrapText="1"/>
      <protection/>
    </xf>
    <xf numFmtId="0" fontId="27" fillId="34" borderId="0" xfId="0" applyNumberFormat="1" applyFont="1" applyFill="1" applyAlignment="1" applyProtection="1">
      <alignment/>
      <protection/>
    </xf>
    <xf numFmtId="0" fontId="9" fillId="34" borderId="0" xfId="0" applyNumberFormat="1" applyFont="1" applyFill="1" applyAlignment="1" applyProtection="1">
      <alignment/>
      <protection/>
    </xf>
    <xf numFmtId="0" fontId="9" fillId="34" borderId="19" xfId="0" applyNumberFormat="1" applyFont="1" applyFill="1" applyBorder="1" applyAlignment="1" applyProtection="1">
      <alignment wrapText="1"/>
      <protection/>
    </xf>
    <xf numFmtId="49" fontId="9" fillId="34" borderId="19" xfId="0" applyNumberFormat="1" applyFont="1" applyFill="1" applyBorder="1" applyAlignment="1" applyProtection="1">
      <alignment horizontal="center"/>
      <protection/>
    </xf>
    <xf numFmtId="0" fontId="27" fillId="34" borderId="19" xfId="0" applyNumberFormat="1" applyFont="1" applyFill="1" applyBorder="1" applyAlignment="1" applyProtection="1">
      <alignment/>
      <protection/>
    </xf>
    <xf numFmtId="0" fontId="9" fillId="34" borderId="19" xfId="0" applyNumberFormat="1" applyFont="1" applyFill="1" applyBorder="1" applyAlignment="1" applyProtection="1">
      <alignment/>
      <protection/>
    </xf>
    <xf numFmtId="0" fontId="9" fillId="0" borderId="88" xfId="0" applyNumberFormat="1" applyFont="1" applyFill="1" applyBorder="1" applyAlignment="1" applyProtection="1">
      <alignment horizontal="center"/>
      <protection/>
    </xf>
    <xf numFmtId="0" fontId="9" fillId="0" borderId="78" xfId="0" applyNumberFormat="1" applyFont="1" applyFill="1" applyBorder="1" applyAlignment="1" applyProtection="1">
      <alignment horizontal="left" wrapText="1" indent="2"/>
      <protection/>
    </xf>
    <xf numFmtId="0" fontId="9" fillId="0" borderId="24" xfId="0" applyNumberFormat="1" applyFont="1" applyFill="1" applyBorder="1" applyAlignment="1" applyProtection="1">
      <alignment wrapText="1"/>
      <protection/>
    </xf>
    <xf numFmtId="0" fontId="9" fillId="0" borderId="78" xfId="0" applyNumberFormat="1" applyFont="1" applyFill="1" applyBorder="1" applyAlignment="1" applyProtection="1">
      <alignment horizontal="left" wrapText="1"/>
      <protection/>
    </xf>
    <xf numFmtId="0" fontId="9" fillId="0" borderId="83" xfId="0" applyNumberFormat="1" applyFont="1" applyFill="1" applyBorder="1" applyAlignment="1" applyProtection="1">
      <alignment horizontal="left" wrapText="1" indent="2"/>
      <protection/>
    </xf>
    <xf numFmtId="4" fontId="19" fillId="0" borderId="20" xfId="0" applyNumberFormat="1" applyFont="1" applyFill="1" applyBorder="1" applyAlignment="1" applyProtection="1">
      <alignment horizontal="right" shrinkToFit="1"/>
      <protection/>
    </xf>
    <xf numFmtId="4" fontId="19" fillId="0" borderId="48" xfId="0" applyNumberFormat="1" applyFont="1" applyFill="1" applyBorder="1" applyAlignment="1" applyProtection="1">
      <alignment horizontal="right" shrinkToFit="1"/>
      <protection/>
    </xf>
    <xf numFmtId="0" fontId="9" fillId="34" borderId="27" xfId="0" applyNumberFormat="1" applyFont="1" applyFill="1" applyBorder="1" applyAlignment="1" applyProtection="1">
      <alignment wrapText="1"/>
      <protection/>
    </xf>
    <xf numFmtId="4" fontId="26" fillId="0" borderId="14" xfId="0" applyNumberFormat="1" applyFont="1" applyFill="1" applyBorder="1" applyAlignment="1" applyProtection="1">
      <alignment horizontal="right" shrinkToFit="1"/>
      <protection/>
    </xf>
    <xf numFmtId="49" fontId="9" fillId="34" borderId="25" xfId="0" applyNumberFormat="1" applyFont="1" applyFill="1" applyBorder="1" applyAlignment="1" applyProtection="1">
      <alignment horizontal="center"/>
      <protection/>
    </xf>
    <xf numFmtId="49" fontId="9" fillId="34" borderId="79" xfId="0" applyNumberFormat="1" applyFont="1" applyFill="1" applyBorder="1" applyAlignment="1" applyProtection="1">
      <alignment horizontal="center"/>
      <protection/>
    </xf>
    <xf numFmtId="49" fontId="9" fillId="34" borderId="42" xfId="0" applyNumberFormat="1" applyFont="1" applyFill="1" applyBorder="1" applyAlignment="1" applyProtection="1">
      <alignment horizontal="center"/>
      <protection/>
    </xf>
    <xf numFmtId="4" fontId="27" fillId="34" borderId="14" xfId="0" applyNumberFormat="1" applyFont="1" applyFill="1" applyBorder="1" applyAlignment="1" applyProtection="1">
      <alignment horizontal="right" shrinkToFit="1"/>
      <protection/>
    </xf>
    <xf numFmtId="4" fontId="9" fillId="34" borderId="14" xfId="0" applyNumberFormat="1" applyFont="1" applyFill="1" applyBorder="1" applyAlignment="1" applyProtection="1">
      <alignment horizontal="right" shrinkToFit="1"/>
      <protection/>
    </xf>
    <xf numFmtId="4" fontId="9" fillId="34" borderId="43" xfId="0" applyNumberFormat="1" applyFont="1" applyFill="1" applyBorder="1" applyAlignment="1" applyProtection="1">
      <alignment horizontal="right" shrinkToFit="1"/>
      <protection/>
    </xf>
    <xf numFmtId="49" fontId="9" fillId="34" borderId="39" xfId="0" applyNumberFormat="1" applyFont="1" applyFill="1" applyBorder="1" applyAlignment="1" applyProtection="1">
      <alignment horizontal="center"/>
      <protection/>
    </xf>
    <xf numFmtId="4" fontId="27" fillId="34" borderId="13" xfId="0" applyNumberFormat="1" applyFont="1" applyFill="1" applyBorder="1" applyAlignment="1" applyProtection="1">
      <alignment horizontal="right" shrinkToFit="1"/>
      <protection/>
    </xf>
    <xf numFmtId="4" fontId="9" fillId="34" borderId="13" xfId="0" applyNumberFormat="1" applyFont="1" applyFill="1" applyBorder="1" applyAlignment="1" applyProtection="1">
      <alignment horizontal="right" shrinkToFit="1"/>
      <protection/>
    </xf>
    <xf numFmtId="4" fontId="9" fillId="34" borderId="40" xfId="0" applyNumberFormat="1" applyFont="1" applyFill="1" applyBorder="1" applyAlignment="1" applyProtection="1">
      <alignment horizontal="right" shrinkToFit="1"/>
      <protection/>
    </xf>
    <xf numFmtId="4" fontId="11" fillId="0" borderId="14" xfId="0" applyNumberFormat="1" applyFont="1" applyFill="1" applyBorder="1" applyAlignment="1" applyProtection="1">
      <alignment horizontal="right" shrinkToFit="1"/>
      <protection/>
    </xf>
    <xf numFmtId="4" fontId="27" fillId="0" borderId="20" xfId="0" applyNumberFormat="1" applyFont="1" applyFill="1" applyBorder="1" applyAlignment="1" applyProtection="1">
      <alignment horizontal="right" shrinkToFit="1"/>
      <protection/>
    </xf>
    <xf numFmtId="0" fontId="9" fillId="0" borderId="27" xfId="0" applyNumberFormat="1" applyFont="1" applyFill="1" applyBorder="1" applyAlignment="1" applyProtection="1">
      <alignment horizontal="left" wrapText="1" indent="2"/>
      <protection/>
    </xf>
    <xf numFmtId="0" fontId="26" fillId="0" borderId="49" xfId="0" applyNumberFormat="1" applyFont="1" applyFill="1" applyBorder="1" applyAlignment="1" applyProtection="1">
      <alignment horizontal="right"/>
      <protection/>
    </xf>
    <xf numFmtId="0" fontId="9" fillId="0" borderId="49" xfId="0" applyNumberFormat="1" applyFont="1" applyFill="1" applyBorder="1" applyAlignment="1" applyProtection="1">
      <alignment horizontal="right"/>
      <protection/>
    </xf>
    <xf numFmtId="0" fontId="27" fillId="34" borderId="0" xfId="0" applyNumberFormat="1" applyFont="1" applyFill="1" applyAlignment="1" applyProtection="1">
      <alignment horizontal="right"/>
      <protection/>
    </xf>
    <xf numFmtId="0" fontId="9" fillId="34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left" wrapText="1" indent="2"/>
      <protection/>
    </xf>
    <xf numFmtId="0" fontId="26" fillId="0" borderId="19" xfId="0" applyNumberFormat="1" applyFont="1" applyFill="1" applyBorder="1" applyAlignment="1" applyProtection="1">
      <alignment horizontal="right"/>
      <protection/>
    </xf>
    <xf numFmtId="0" fontId="9" fillId="0" borderId="20" xfId="0" applyNumberFormat="1" applyFont="1" applyFill="1" applyBorder="1" applyAlignment="1" applyProtection="1">
      <alignment horizontal="right"/>
      <protection/>
    </xf>
    <xf numFmtId="0" fontId="9" fillId="0" borderId="88" xfId="0" applyNumberFormat="1" applyFont="1" applyFill="1" applyBorder="1" applyAlignment="1" applyProtection="1">
      <alignment horizontal="right"/>
      <protection/>
    </xf>
    <xf numFmtId="49" fontId="9" fillId="34" borderId="77" xfId="0" applyNumberFormat="1" applyFont="1" applyFill="1" applyBorder="1" applyAlignment="1" applyProtection="1">
      <alignment horizontal="center"/>
      <protection/>
    </xf>
    <xf numFmtId="49" fontId="9" fillId="34" borderId="53" xfId="0" applyNumberFormat="1" applyFont="1" applyFill="1" applyBorder="1" applyAlignment="1" applyProtection="1">
      <alignment horizontal="center"/>
      <protection/>
    </xf>
    <xf numFmtId="0" fontId="9" fillId="0" borderId="82" xfId="0" applyNumberFormat="1" applyFont="1" applyFill="1" applyBorder="1" applyAlignment="1" applyProtection="1">
      <alignment horizontal="left" wrapText="1" indent="3"/>
      <protection/>
    </xf>
    <xf numFmtId="0" fontId="9" fillId="0" borderId="80" xfId="0" applyNumberFormat="1" applyFont="1" applyFill="1" applyBorder="1" applyAlignment="1" applyProtection="1">
      <alignment horizontal="left" vertical="center" wrapText="1" indent="2"/>
      <protection/>
    </xf>
    <xf numFmtId="0" fontId="9" fillId="0" borderId="26" xfId="0" applyNumberFormat="1" applyFont="1" applyFill="1" applyBorder="1" applyAlignment="1" applyProtection="1">
      <alignment horizontal="left" wrapText="1" indent="2"/>
      <protection/>
    </xf>
    <xf numFmtId="0" fontId="9" fillId="0" borderId="25" xfId="0" applyNumberFormat="1" applyFont="1" applyFill="1" applyBorder="1" applyAlignment="1" applyProtection="1">
      <alignment horizontal="left" wrapText="1" indent="3"/>
      <protection/>
    </xf>
    <xf numFmtId="49" fontId="9" fillId="34" borderId="85" xfId="0" applyNumberFormat="1" applyFont="1" applyFill="1" applyBorder="1" applyAlignment="1" applyProtection="1">
      <alignment horizontal="center"/>
      <protection/>
    </xf>
    <xf numFmtId="0" fontId="9" fillId="0" borderId="49" xfId="0" applyNumberFormat="1" applyFont="1" applyFill="1" applyBorder="1" applyAlignment="1" applyProtection="1">
      <alignment/>
      <protection/>
    </xf>
    <xf numFmtId="49" fontId="9" fillId="0" borderId="20" xfId="0" applyNumberFormat="1" applyFont="1" applyFill="1" applyBorder="1" applyAlignment="1" applyProtection="1">
      <alignment horizontal="center"/>
      <protection/>
    </xf>
    <xf numFmtId="0" fontId="9" fillId="0" borderId="78" xfId="0" applyNumberFormat="1" applyFont="1" applyFill="1" applyBorder="1" applyAlignment="1" applyProtection="1">
      <alignment horizontal="left" wrapText="1" indent="3"/>
      <protection/>
    </xf>
    <xf numFmtId="49" fontId="9" fillId="0" borderId="79" xfId="0" applyNumberFormat="1" applyFont="1" applyFill="1" applyBorder="1" applyAlignment="1" applyProtection="1">
      <alignment/>
      <protection/>
    </xf>
    <xf numFmtId="0" fontId="9" fillId="0" borderId="26" xfId="0" applyNumberFormat="1" applyFont="1" applyFill="1" applyBorder="1" applyAlignment="1" applyProtection="1">
      <alignment horizontal="left" wrapText="1" indent="3"/>
      <protection/>
    </xf>
    <xf numFmtId="49" fontId="9" fillId="0" borderId="26" xfId="0" applyNumberFormat="1" applyFont="1" applyFill="1" applyBorder="1" applyAlignment="1" applyProtection="1">
      <alignment/>
      <protection/>
    </xf>
    <xf numFmtId="0" fontId="9" fillId="0" borderId="80" xfId="0" applyNumberFormat="1" applyFont="1" applyFill="1" applyBorder="1" applyAlignment="1" applyProtection="1">
      <alignment horizontal="left" vertical="center" wrapText="1" indent="3"/>
      <protection/>
    </xf>
    <xf numFmtId="49" fontId="9" fillId="0" borderId="84" xfId="0" applyNumberFormat="1" applyFont="1" applyFill="1" applyBorder="1" applyAlignment="1" applyProtection="1">
      <alignment/>
      <protection/>
    </xf>
    <xf numFmtId="0" fontId="9" fillId="0" borderId="89" xfId="0" applyNumberFormat="1" applyFont="1" applyFill="1" applyBorder="1" applyAlignment="1" applyProtection="1">
      <alignment wrapText="1"/>
      <protection/>
    </xf>
    <xf numFmtId="49" fontId="9" fillId="0" borderId="49" xfId="0" applyNumberFormat="1" applyFont="1" applyFill="1" applyBorder="1" applyAlignment="1" applyProtection="1">
      <alignment/>
      <protection/>
    </xf>
    <xf numFmtId="0" fontId="9" fillId="0" borderId="49" xfId="0" applyNumberFormat="1" applyFont="1" applyFill="1" applyBorder="1" applyAlignment="1" applyProtection="1">
      <alignment wrapText="1"/>
      <protection/>
    </xf>
    <xf numFmtId="2" fontId="27" fillId="0" borderId="49" xfId="0" applyNumberFormat="1" applyFont="1" applyFill="1" applyBorder="1" applyAlignment="1" applyProtection="1">
      <alignment/>
      <protection/>
    </xf>
    <xf numFmtId="2" fontId="9" fillId="0" borderId="49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wrapText="1"/>
      <protection/>
    </xf>
    <xf numFmtId="0" fontId="9" fillId="0" borderId="27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/>
      <protection/>
    </xf>
    <xf numFmtId="49" fontId="9" fillId="0" borderId="27" xfId="0" applyNumberFormat="1" applyFont="1" applyFill="1" applyBorder="1" applyAlignment="1" applyProtection="1">
      <alignment horizontal="right"/>
      <protection/>
    </xf>
    <xf numFmtId="49" fontId="9" fillId="0" borderId="27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 horizontal="right"/>
      <protection/>
    </xf>
    <xf numFmtId="0" fontId="26" fillId="0" borderId="11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 horizontal="left"/>
      <protection/>
    </xf>
    <xf numFmtId="49" fontId="9" fillId="0" borderId="90" xfId="0" applyNumberFormat="1" applyFont="1" applyFill="1" applyBorder="1" applyAlignment="1" applyProtection="1">
      <alignment horizontal="center"/>
      <protection/>
    </xf>
    <xf numFmtId="14" fontId="9" fillId="0" borderId="91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9" fillId="0" borderId="92" xfId="0" applyNumberFormat="1" applyFont="1" applyFill="1" applyBorder="1" applyAlignment="1" applyProtection="1">
      <alignment/>
      <protection/>
    </xf>
    <xf numFmtId="0" fontId="9" fillId="0" borderId="93" xfId="0" applyNumberFormat="1" applyFont="1" applyFill="1" applyBorder="1" applyAlignment="1" applyProtection="1">
      <alignment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94" xfId="0" applyNumberFormat="1" applyFont="1" applyFill="1" applyBorder="1" applyAlignment="1" applyProtection="1">
      <alignment/>
      <protection/>
    </xf>
    <xf numFmtId="0" fontId="9" fillId="0" borderId="91" xfId="0" applyNumberFormat="1" applyFont="1" applyFill="1" applyBorder="1" applyAlignment="1" applyProtection="1">
      <alignment horizontal="center"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29" fillId="0" borderId="27" xfId="0" applyNumberFormat="1" applyFont="1" applyFill="1" applyBorder="1" applyAlignment="1" applyProtection="1">
      <alignment/>
      <protection/>
    </xf>
    <xf numFmtId="0" fontId="9" fillId="0" borderId="91" xfId="0" applyNumberFormat="1" applyFont="1" applyFill="1" applyBorder="1" applyAlignment="1" applyProtection="1">
      <alignment/>
      <protection/>
    </xf>
    <xf numFmtId="0" fontId="9" fillId="0" borderId="95" xfId="0" applyNumberFormat="1" applyFont="1" applyFill="1" applyBorder="1" applyAlignment="1" applyProtection="1">
      <alignment horizontal="center"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/>
      <protection/>
    </xf>
    <xf numFmtId="49" fontId="9" fillId="0" borderId="88" xfId="0" applyNumberFormat="1" applyFont="1" applyFill="1" applyBorder="1" applyAlignment="1" applyProtection="1">
      <alignment horizontal="center" vertical="center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" fontId="9" fillId="0" borderId="54" xfId="0" applyNumberFormat="1" applyFont="1" applyFill="1" applyBorder="1" applyAlignment="1" applyProtection="1">
      <alignment horizontal="center" wrapText="1" shrinkToFit="1"/>
      <protection/>
    </xf>
    <xf numFmtId="4" fontId="9" fillId="0" borderId="54" xfId="0" applyNumberFormat="1" applyFont="1" applyFill="1" applyBorder="1" applyAlignment="1" applyProtection="1">
      <alignment horizontal="center" shrinkToFit="1"/>
      <protection/>
    </xf>
    <xf numFmtId="4" fontId="9" fillId="0" borderId="55" xfId="0" applyNumberFormat="1" applyFont="1" applyFill="1" applyBorder="1" applyAlignment="1" applyProtection="1">
      <alignment horizontal="center" shrinkToFit="1"/>
      <protection/>
    </xf>
    <xf numFmtId="49" fontId="9" fillId="0" borderId="10" xfId="0" applyNumberFormat="1" applyFont="1" applyFill="1" applyBorder="1" applyAlignment="1" applyProtection="1">
      <alignment horizontal="center"/>
      <protection/>
    </xf>
    <xf numFmtId="4" fontId="9" fillId="0" borderId="46" xfId="0" applyNumberFormat="1" applyFont="1" applyFill="1" applyBorder="1" applyAlignment="1" applyProtection="1">
      <alignment horizontal="center" shrinkToFit="1"/>
      <protection/>
    </xf>
    <xf numFmtId="49" fontId="9" fillId="0" borderId="14" xfId="0" applyNumberFormat="1" applyFont="1" applyFill="1" applyBorder="1" applyAlignment="1" applyProtection="1">
      <alignment horizontal="center"/>
      <protection/>
    </xf>
    <xf numFmtId="2" fontId="9" fillId="0" borderId="14" xfId="0" applyNumberFormat="1" applyFont="1" applyFill="1" applyBorder="1" applyAlignment="1" applyProtection="1">
      <alignment horizontal="center"/>
      <protection/>
    </xf>
    <xf numFmtId="2" fontId="9" fillId="0" borderId="43" xfId="0" applyNumberFormat="1" applyFont="1" applyFill="1" applyBorder="1" applyAlignment="1" applyProtection="1">
      <alignment horizontal="center"/>
      <protection/>
    </xf>
    <xf numFmtId="49" fontId="9" fillId="0" borderId="96" xfId="0" applyNumberFormat="1" applyFont="1" applyFill="1" applyBorder="1" applyAlignment="1" applyProtection="1">
      <alignment horizontal="center"/>
      <protection/>
    </xf>
    <xf numFmtId="49" fontId="9" fillId="0" borderId="15" xfId="0" applyNumberFormat="1" applyFont="1" applyFill="1" applyBorder="1" applyAlignment="1" applyProtection="1">
      <alignment horizontal="center"/>
      <protection/>
    </xf>
    <xf numFmtId="2" fontId="9" fillId="0" borderId="15" xfId="0" applyNumberFormat="1" applyFont="1" applyFill="1" applyBorder="1" applyAlignment="1" applyProtection="1">
      <alignment horizontal="center"/>
      <protection/>
    </xf>
    <xf numFmtId="2" fontId="9" fillId="0" borderId="97" xfId="0" applyNumberFormat="1" applyFont="1" applyFill="1" applyBorder="1" applyAlignment="1" applyProtection="1">
      <alignment horizontal="center"/>
      <protection/>
    </xf>
    <xf numFmtId="49" fontId="9" fillId="0" borderId="13" xfId="0" applyNumberFormat="1" applyFon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 shrinkToFit="1"/>
      <protection/>
    </xf>
    <xf numFmtId="4" fontId="9" fillId="0" borderId="40" xfId="0" applyNumberFormat="1" applyFont="1" applyFill="1" applyBorder="1" applyAlignment="1" applyProtection="1">
      <alignment horizontal="center" shrinkToFit="1"/>
      <protection/>
    </xf>
    <xf numFmtId="4" fontId="9" fillId="0" borderId="20" xfId="0" applyNumberFormat="1" applyFont="1" applyFill="1" applyBorder="1" applyAlignment="1" applyProtection="1">
      <alignment horizontal="center" shrinkToFit="1"/>
      <protection/>
    </xf>
    <xf numFmtId="4" fontId="9" fillId="0" borderId="48" xfId="0" applyNumberFormat="1" applyFont="1" applyFill="1" applyBorder="1" applyAlignment="1" applyProtection="1">
      <alignment horizontal="center" shrinkToFit="1"/>
      <protection/>
    </xf>
    <xf numFmtId="0" fontId="30" fillId="0" borderId="41" xfId="0" applyNumberFormat="1" applyFont="1" applyFill="1" applyBorder="1" applyAlignment="1" applyProtection="1">
      <alignment horizontal="left" wrapText="1"/>
      <protection/>
    </xf>
    <xf numFmtId="4" fontId="9" fillId="0" borderId="49" xfId="0" applyNumberFormat="1" applyFont="1" applyFill="1" applyBorder="1" applyAlignment="1" applyProtection="1">
      <alignment horizontal="center" shrinkToFit="1"/>
      <protection/>
    </xf>
    <xf numFmtId="0" fontId="30" fillId="0" borderId="19" xfId="0" applyNumberFormat="1" applyFont="1" applyFill="1" applyBorder="1" applyAlignment="1" applyProtection="1">
      <alignment horizontal="left" wrapText="1"/>
      <protection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" fontId="9" fillId="0" borderId="14" xfId="0" applyNumberFormat="1" applyFont="1" applyFill="1" applyBorder="1" applyAlignment="1" applyProtection="1">
      <alignment horizontal="center" shrinkToFit="1"/>
      <protection/>
    </xf>
    <xf numFmtId="4" fontId="9" fillId="0" borderId="43" xfId="0" applyNumberFormat="1" applyFont="1" applyFill="1" applyBorder="1" applyAlignment="1" applyProtection="1">
      <alignment horizontal="center" shrinkToFit="1"/>
      <protection/>
    </xf>
    <xf numFmtId="4" fontId="9" fillId="0" borderId="15" xfId="0" applyNumberFormat="1" applyFont="1" applyFill="1" applyBorder="1" applyAlignment="1" applyProtection="1">
      <alignment horizontal="center" shrinkToFit="1"/>
      <protection/>
    </xf>
    <xf numFmtId="4" fontId="9" fillId="0" borderId="97" xfId="0" applyNumberFormat="1" applyFont="1" applyFill="1" applyBorder="1" applyAlignment="1" applyProtection="1">
      <alignment horizontal="center" shrinkToFit="1"/>
      <protection/>
    </xf>
    <xf numFmtId="0" fontId="29" fillId="0" borderId="41" xfId="0" applyNumberFormat="1" applyFont="1" applyFill="1" applyBorder="1" applyAlignment="1" applyProtection="1">
      <alignment/>
      <protection/>
    </xf>
    <xf numFmtId="49" fontId="29" fillId="0" borderId="49" xfId="0" applyNumberFormat="1" applyFont="1" applyFill="1" applyBorder="1" applyAlignment="1" applyProtection="1">
      <alignment horizontal="left"/>
      <protection/>
    </xf>
    <xf numFmtId="0" fontId="29" fillId="0" borderId="49" xfId="0" applyNumberFormat="1" applyFont="1" applyFill="1" applyBorder="1" applyAlignment="1" applyProtection="1">
      <alignment horizontal="left"/>
      <protection/>
    </xf>
    <xf numFmtId="49" fontId="29" fillId="0" borderId="49" xfId="0" applyNumberFormat="1" applyFont="1" applyFill="1" applyBorder="1" applyAlignment="1" applyProtection="1">
      <alignment/>
      <protection/>
    </xf>
    <xf numFmtId="49" fontId="9" fillId="0" borderId="51" xfId="0" applyNumberFormat="1" applyFont="1" applyFill="1" applyBorder="1" applyAlignment="1" applyProtection="1">
      <alignment horizontal="center" vertical="center"/>
      <protection/>
    </xf>
    <xf numFmtId="49" fontId="9" fillId="0" borderId="98" xfId="0" applyNumberFormat="1" applyFont="1" applyFill="1" applyBorder="1" applyAlignment="1" applyProtection="1">
      <alignment horizontal="center"/>
      <protection/>
    </xf>
    <xf numFmtId="49" fontId="9" fillId="0" borderId="99" xfId="0" applyNumberFormat="1" applyFont="1" applyFill="1" applyBorder="1" applyAlignment="1" applyProtection="1">
      <alignment horizontal="center"/>
      <protection/>
    </xf>
    <xf numFmtId="0" fontId="11" fillId="0" borderId="41" xfId="0" applyNumberFormat="1" applyFont="1" applyFill="1" applyBorder="1" applyAlignment="1" applyProtection="1">
      <alignment horizontal="left" wrapText="1" indent="1"/>
      <protection/>
    </xf>
    <xf numFmtId="4" fontId="9" fillId="0" borderId="49" xfId="0" applyNumberFormat="1" applyFont="1" applyFill="1" applyBorder="1" applyAlignment="1" applyProtection="1">
      <alignment horizontal="right" shrinkToFit="1"/>
      <protection/>
    </xf>
    <xf numFmtId="0" fontId="29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right" vertical="center" shrinkToFit="1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horizontal="left" wrapText="1"/>
      <protection/>
    </xf>
    <xf numFmtId="0" fontId="32" fillId="0" borderId="27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Alignment="1" applyProtection="1">
      <alignment horizontal="left"/>
      <protection/>
    </xf>
    <xf numFmtId="0" fontId="32" fillId="0" borderId="0" xfId="0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horizontal="left"/>
      <protection/>
    </xf>
    <xf numFmtId="0" fontId="22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9" fillId="0" borderId="50" xfId="0" applyNumberFormat="1" applyFont="1" applyFill="1" applyBorder="1" applyAlignment="1" applyProtection="1">
      <alignment/>
      <protection/>
    </xf>
    <xf numFmtId="0" fontId="9" fillId="0" borderId="100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horizontal="center" vertical="top"/>
      <protection/>
    </xf>
    <xf numFmtId="0" fontId="18" fillId="35" borderId="10" xfId="0" applyFont="1" applyFill="1" applyBorder="1" applyAlignment="1">
      <alignment wrapText="1"/>
    </xf>
    <xf numFmtId="4" fontId="6" fillId="0" borderId="17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wrapText="1"/>
    </xf>
    <xf numFmtId="0" fontId="9" fillId="0" borderId="10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34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right"/>
      <protection/>
    </xf>
    <xf numFmtId="49" fontId="9" fillId="0" borderId="19" xfId="0" applyNumberFormat="1" applyFont="1" applyFill="1" applyBorder="1" applyAlignment="1" applyProtection="1">
      <alignment wrapText="1"/>
      <protection/>
    </xf>
    <xf numFmtId="0" fontId="0" fillId="0" borderId="19" xfId="0" applyBorder="1" applyAlignment="1">
      <alignment wrapText="1"/>
    </xf>
    <xf numFmtId="49" fontId="9" fillId="0" borderId="27" xfId="0" applyNumberFormat="1" applyFont="1" applyFill="1" applyBorder="1" applyAlignment="1" applyProtection="1">
      <alignment horizontal="center" wrapText="1"/>
      <protection/>
    </xf>
    <xf numFmtId="49" fontId="9" fillId="0" borderId="27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left" shrinkToFit="1"/>
      <protection/>
    </xf>
    <xf numFmtId="0" fontId="9" fillId="0" borderId="19" xfId="0" applyNumberFormat="1" applyFont="1" applyFill="1" applyBorder="1" applyAlignment="1" applyProtection="1">
      <alignment horizontal="right" shrinkToFit="1"/>
      <protection/>
    </xf>
    <xf numFmtId="0" fontId="9" fillId="0" borderId="19" xfId="0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center" wrapText="1" shrinkToFit="1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69" fillId="0" borderId="0" xfId="0" applyNumberFormat="1" applyFont="1" applyFill="1" applyAlignment="1" applyProtection="1">
      <alignment horizontal="center"/>
      <protection/>
    </xf>
    <xf numFmtId="0" fontId="9" fillId="0" borderId="10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3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9" fillId="0" borderId="100" xfId="0" applyNumberFormat="1" applyFont="1" applyFill="1" applyBorder="1" applyAlignment="1" applyProtection="1">
      <alignment horizontal="center"/>
      <protection/>
    </xf>
    <xf numFmtId="49" fontId="9" fillId="0" borderId="104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Alignment="1" applyProtection="1">
      <alignment/>
      <protection/>
    </xf>
    <xf numFmtId="0" fontId="32" fillId="0" borderId="27" xfId="0" applyNumberFormat="1" applyFont="1" applyFill="1" applyBorder="1" applyAlignment="1" applyProtection="1">
      <alignment horizontal="center"/>
      <protection/>
    </xf>
    <xf numFmtId="0" fontId="11" fillId="0" borderId="105" xfId="0" applyNumberFormat="1" applyFont="1" applyFill="1" applyBorder="1" applyAlignment="1" applyProtection="1">
      <alignment horizontal="left" wrapText="1" indent="2"/>
      <protection/>
    </xf>
    <xf numFmtId="0" fontId="11" fillId="0" borderId="106" xfId="0" applyNumberFormat="1" applyFont="1" applyFill="1" applyBorder="1" applyAlignment="1" applyProtection="1">
      <alignment horizontal="left" wrapText="1" inden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/>
      <protection/>
    </xf>
    <xf numFmtId="49" fontId="9" fillId="0" borderId="104" xfId="0" applyNumberFormat="1" applyFont="1" applyFill="1" applyBorder="1" applyAlignment="1" applyProtection="1">
      <alignment horizontal="center" vertical="center"/>
      <protection/>
    </xf>
    <xf numFmtId="0" fontId="11" fillId="0" borderId="107" xfId="0" applyNumberFormat="1" applyFont="1" applyFill="1" applyBorder="1" applyAlignment="1" applyProtection="1">
      <alignment horizontal="left" wrapText="1" indent="1"/>
      <protection/>
    </xf>
    <xf numFmtId="0" fontId="31" fillId="0" borderId="107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07" xfId="0" applyNumberFormat="1" applyFont="1" applyFill="1" applyBorder="1" applyAlignment="1" applyProtection="1">
      <alignment horizontal="left" wrapText="1"/>
      <protection/>
    </xf>
    <xf numFmtId="49" fontId="9" fillId="0" borderId="12" xfId="0" applyNumberFormat="1" applyFont="1" applyFill="1" applyBorder="1" applyAlignment="1" applyProtection="1">
      <alignment horizontal="center" vertical="top"/>
      <protection/>
    </xf>
    <xf numFmtId="0" fontId="23" fillId="0" borderId="107" xfId="0" applyNumberFormat="1" applyFont="1" applyFill="1" applyBorder="1" applyAlignment="1" applyProtection="1">
      <alignment horizontal="left" wrapText="1" indent="1"/>
      <protection/>
    </xf>
    <xf numFmtId="0" fontId="23" fillId="0" borderId="21" xfId="0" applyNumberFormat="1" applyFont="1" applyFill="1" applyBorder="1" applyAlignment="1" applyProtection="1">
      <alignment horizontal="left" wrapText="1" indent="1"/>
      <protection/>
    </xf>
    <xf numFmtId="0" fontId="23" fillId="0" borderId="106" xfId="0" applyNumberFormat="1" applyFont="1" applyFill="1" applyBorder="1" applyAlignment="1" applyProtection="1">
      <alignment horizontal="left" wrapText="1" indent="1"/>
      <protection/>
    </xf>
    <xf numFmtId="0" fontId="27" fillId="0" borderId="16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wrapText="1"/>
      <protection/>
    </xf>
    <xf numFmtId="0" fontId="11" fillId="0" borderId="19" xfId="0" applyNumberFormat="1" applyFont="1" applyFill="1" applyBorder="1" applyAlignment="1" applyProtection="1">
      <alignment horizontal="left" wrapText="1"/>
      <protection/>
    </xf>
    <xf numFmtId="0" fontId="9" fillId="0" borderId="18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left" wrapText="1"/>
      <protection/>
    </xf>
    <xf numFmtId="0" fontId="9" fillId="0" borderId="50" xfId="0" applyNumberFormat="1" applyFont="1" applyFill="1" applyBorder="1" applyAlignment="1" applyProtection="1">
      <alignment horizontal="center"/>
      <protection/>
    </xf>
    <xf numFmtId="0" fontId="31" fillId="0" borderId="107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08" xfId="0" applyNumberFormat="1" applyFont="1" applyFill="1" applyBorder="1" applyAlignment="1" applyProtection="1">
      <alignment horizontal="center" wrapText="1"/>
      <protection/>
    </xf>
    <xf numFmtId="0" fontId="11" fillId="0" borderId="106" xfId="0" applyNumberFormat="1" applyFont="1" applyFill="1" applyBorder="1" applyAlignment="1" applyProtection="1">
      <alignment horizontal="left" wrapText="1"/>
      <protection/>
    </xf>
    <xf numFmtId="0" fontId="11" fillId="0" borderId="107" xfId="0" applyNumberFormat="1" applyFont="1" applyFill="1" applyBorder="1" applyAlignment="1" applyProtection="1">
      <alignment horizontal="left" wrapText="1"/>
      <protection/>
    </xf>
    <xf numFmtId="0" fontId="11" fillId="0" borderId="105" xfId="0" applyNumberFormat="1" applyFont="1" applyFill="1" applyBorder="1" applyAlignment="1" applyProtection="1">
      <alignment horizontal="left" wrapText="1"/>
      <protection/>
    </xf>
    <xf numFmtId="0" fontId="11" fillId="0" borderId="106" xfId="0" applyNumberFormat="1" applyFont="1" applyFill="1" applyBorder="1" applyAlignment="1" applyProtection="1">
      <alignment wrapText="1"/>
      <protection/>
    </xf>
    <xf numFmtId="0" fontId="11" fillId="0" borderId="107" xfId="0" applyNumberFormat="1" applyFont="1" applyFill="1" applyBorder="1" applyAlignment="1" applyProtection="1">
      <alignment wrapText="1"/>
      <protection/>
    </xf>
    <xf numFmtId="0" fontId="23" fillId="0" borderId="105" xfId="0" applyNumberFormat="1" applyFont="1" applyFill="1" applyBorder="1" applyAlignment="1" applyProtection="1">
      <alignment horizontal="left" wrapText="1" indent="2"/>
      <protection/>
    </xf>
    <xf numFmtId="0" fontId="23" fillId="0" borderId="107" xfId="0" applyNumberFormat="1" applyFont="1" applyFill="1" applyBorder="1" applyAlignment="1" applyProtection="1">
      <alignment horizontal="left" wrapText="1" indent="2"/>
      <protection/>
    </xf>
    <xf numFmtId="0" fontId="24" fillId="0" borderId="108" xfId="0" applyNumberFormat="1" applyFont="1" applyFill="1" applyBorder="1" applyAlignment="1" applyProtection="1">
      <alignment horizontal="center" wrapText="1"/>
      <protection/>
    </xf>
    <xf numFmtId="0" fontId="22" fillId="0" borderId="107" xfId="0" applyNumberFormat="1" applyFont="1" applyFill="1" applyBorder="1" applyAlignment="1" applyProtection="1">
      <alignment horizontal="center" wrapText="1"/>
      <protection/>
    </xf>
    <xf numFmtId="0" fontId="31" fillId="0" borderId="105" xfId="0" applyNumberFormat="1" applyFont="1" applyFill="1" applyBorder="1" applyAlignment="1" applyProtection="1">
      <alignment horizontal="left" wrapText="1"/>
      <protection/>
    </xf>
    <xf numFmtId="0" fontId="11" fillId="0" borderId="106" xfId="0" applyNumberFormat="1" applyFont="1" applyFill="1" applyBorder="1" applyAlignment="1" applyProtection="1">
      <alignment horizontal="left" wrapText="1" indent="2"/>
      <protection/>
    </xf>
    <xf numFmtId="0" fontId="31" fillId="0" borderId="108" xfId="0" applyNumberFormat="1" applyFont="1" applyFill="1" applyBorder="1" applyAlignment="1" applyProtection="1">
      <alignment horizontal="left" wrapText="1"/>
      <protection/>
    </xf>
    <xf numFmtId="0" fontId="23" fillId="0" borderId="105" xfId="0" applyNumberFormat="1" applyFont="1" applyFill="1" applyBorder="1" applyAlignment="1" applyProtection="1">
      <alignment horizontal="left" wrapText="1" indent="1"/>
      <protection/>
    </xf>
    <xf numFmtId="0" fontId="23" fillId="0" borderId="106" xfId="0" applyNumberFormat="1" applyFont="1" applyFill="1" applyBorder="1" applyAlignment="1" applyProtection="1">
      <alignment horizontal="left" wrapText="1" indent="2"/>
      <protection/>
    </xf>
    <xf numFmtId="0" fontId="6" fillId="0" borderId="12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12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7" fillId="0" borderId="31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171" fontId="6" fillId="0" borderId="14" xfId="0" applyNumberFormat="1" applyFont="1" applyBorder="1" applyAlignment="1">
      <alignment horizontal="center" textRotation="90"/>
    </xf>
    <xf numFmtId="171" fontId="6" fillId="0" borderId="15" xfId="0" applyNumberFormat="1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171" fontId="6" fillId="0" borderId="10" xfId="0" applyNumberFormat="1" applyFont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10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000500" y="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000500" y="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4000500" y="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133600" y="0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133600" y="0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nsavtec@yandex.ru" TargetMode="Externa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PageLayoutView="0" workbookViewId="0" topLeftCell="A1">
      <selection activeCell="L3" sqref="L3"/>
    </sheetView>
  </sheetViews>
  <sheetFormatPr defaultColWidth="9.00390625" defaultRowHeight="15.75"/>
  <cols>
    <col min="1" max="1" width="3.875" style="0" customWidth="1"/>
    <col min="2" max="2" width="6.25390625" style="0" customWidth="1"/>
    <col min="11" max="11" width="33.125" style="0" customWidth="1"/>
  </cols>
  <sheetData>
    <row r="1" spans="1:11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20" t="s">
        <v>842</v>
      </c>
    </row>
    <row r="2" spans="1:11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19"/>
      <c r="B3" s="21" t="s">
        <v>138</v>
      </c>
      <c r="C3" s="481" t="s">
        <v>158</v>
      </c>
      <c r="D3" s="481"/>
      <c r="E3" s="481"/>
      <c r="F3" s="481"/>
      <c r="G3" s="481"/>
      <c r="H3" s="481"/>
      <c r="I3" s="481"/>
      <c r="J3" s="481"/>
      <c r="K3" s="481"/>
    </row>
    <row r="4" spans="1:11" ht="54.75" customHeight="1">
      <c r="A4" s="19"/>
      <c r="B4" s="22">
        <v>1</v>
      </c>
      <c r="C4" s="477" t="s">
        <v>133</v>
      </c>
      <c r="D4" s="478"/>
      <c r="E4" s="478"/>
      <c r="F4" s="478"/>
      <c r="G4" s="478"/>
      <c r="H4" s="478"/>
      <c r="I4" s="478"/>
      <c r="J4" s="479" t="s">
        <v>527</v>
      </c>
      <c r="K4" s="480"/>
    </row>
    <row r="5" spans="1:11" ht="56.25" customHeight="1">
      <c r="A5" s="19"/>
      <c r="B5" s="22">
        <v>2</v>
      </c>
      <c r="C5" s="477" t="s">
        <v>134</v>
      </c>
      <c r="D5" s="478"/>
      <c r="E5" s="478"/>
      <c r="F5" s="478"/>
      <c r="G5" s="478"/>
      <c r="H5" s="478"/>
      <c r="I5" s="478"/>
      <c r="J5" s="479" t="s">
        <v>410</v>
      </c>
      <c r="K5" s="480"/>
    </row>
    <row r="6" spans="1:11" ht="46.5" customHeight="1">
      <c r="A6" s="19"/>
      <c r="B6" s="22">
        <v>3</v>
      </c>
      <c r="C6" s="477" t="s">
        <v>135</v>
      </c>
      <c r="D6" s="478"/>
      <c r="E6" s="478"/>
      <c r="F6" s="478"/>
      <c r="G6" s="478"/>
      <c r="H6" s="478"/>
      <c r="I6" s="478"/>
      <c r="J6" s="479" t="s">
        <v>8</v>
      </c>
      <c r="K6" s="480"/>
    </row>
    <row r="7" spans="1:11" ht="35.25" customHeight="1">
      <c r="A7" s="19"/>
      <c r="B7" s="22">
        <v>4</v>
      </c>
      <c r="C7" s="477" t="s">
        <v>136</v>
      </c>
      <c r="D7" s="478"/>
      <c r="E7" s="478"/>
      <c r="F7" s="478"/>
      <c r="G7" s="478"/>
      <c r="H7" s="478"/>
      <c r="I7" s="478"/>
      <c r="J7" s="479" t="s">
        <v>9</v>
      </c>
      <c r="K7" s="480"/>
    </row>
  </sheetData>
  <sheetProtection/>
  <mergeCells count="9">
    <mergeCell ref="C7:I7"/>
    <mergeCell ref="J7:K7"/>
    <mergeCell ref="C3:K3"/>
    <mergeCell ref="C4:I4"/>
    <mergeCell ref="C5:I5"/>
    <mergeCell ref="C6:I6"/>
    <mergeCell ref="J6:K6"/>
    <mergeCell ref="J5:K5"/>
    <mergeCell ref="J4:K4"/>
  </mergeCells>
  <printOptions/>
  <pageMargins left="1.1023622047244095" right="0.5118110236220472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70" zoomScaleNormal="70" zoomScalePageLayoutView="0" workbookViewId="0" topLeftCell="A10">
      <selection activeCell="F10" sqref="F10:F12"/>
    </sheetView>
  </sheetViews>
  <sheetFormatPr defaultColWidth="9.00390625" defaultRowHeight="15.75"/>
  <cols>
    <col min="1" max="1" width="3.625" style="0" customWidth="1"/>
    <col min="2" max="2" width="6.125" style="0" customWidth="1"/>
    <col min="5" max="5" width="75.625" style="0" customWidth="1"/>
    <col min="6" max="6" width="68.625" style="0" customWidth="1"/>
    <col min="7" max="7" width="6.00390625" style="0" customWidth="1"/>
    <col min="8" max="9" width="5.25390625" style="0" customWidth="1"/>
    <col min="10" max="10" width="5.125" style="0" customWidth="1"/>
  </cols>
  <sheetData>
    <row r="1" spans="2:6" ht="18">
      <c r="B1" s="12"/>
      <c r="C1" s="12"/>
      <c r="D1" s="12"/>
      <c r="E1" s="12"/>
      <c r="F1" s="13" t="s">
        <v>848</v>
      </c>
    </row>
    <row r="2" spans="2:6" ht="15" customHeight="1">
      <c r="B2" s="12"/>
      <c r="C2" s="12"/>
      <c r="D2" s="12"/>
      <c r="E2" s="12"/>
      <c r="F2" s="12"/>
    </row>
    <row r="3" spans="2:10" ht="20.25" customHeight="1">
      <c r="B3" s="621" t="s">
        <v>177</v>
      </c>
      <c r="C3" s="621"/>
      <c r="D3" s="621"/>
      <c r="E3" s="621"/>
      <c r="F3" s="621"/>
      <c r="G3" s="7"/>
      <c r="H3" s="7"/>
      <c r="I3" s="7"/>
      <c r="J3" s="7"/>
    </row>
    <row r="4" spans="2:10" ht="24" customHeight="1">
      <c r="B4" s="14" t="s">
        <v>138</v>
      </c>
      <c r="C4" s="623" t="s">
        <v>175</v>
      </c>
      <c r="D4" s="623"/>
      <c r="E4" s="623"/>
      <c r="F4" s="14" t="s">
        <v>176</v>
      </c>
      <c r="G4" s="17"/>
      <c r="H4" s="18"/>
      <c r="I4" s="18"/>
      <c r="J4" s="18"/>
    </row>
    <row r="5" spans="2:10" ht="16.5" customHeight="1">
      <c r="B5" s="15">
        <v>1</v>
      </c>
      <c r="C5" s="622">
        <v>2</v>
      </c>
      <c r="D5" s="622"/>
      <c r="E5" s="622"/>
      <c r="F5" s="15">
        <v>3</v>
      </c>
      <c r="G5" s="17"/>
      <c r="H5" s="18"/>
      <c r="I5" s="18"/>
      <c r="J5" s="18"/>
    </row>
    <row r="6" spans="2:10" ht="106.5" customHeight="1">
      <c r="B6" s="73">
        <v>1</v>
      </c>
      <c r="C6" s="610" t="s">
        <v>4</v>
      </c>
      <c r="D6" s="610"/>
      <c r="E6" s="610"/>
      <c r="F6" s="16" t="s">
        <v>832</v>
      </c>
      <c r="G6" s="17"/>
      <c r="H6" s="18"/>
      <c r="I6" s="18"/>
      <c r="J6" s="18"/>
    </row>
    <row r="7" spans="2:10" ht="49.5" customHeight="1">
      <c r="B7" s="73">
        <v>2</v>
      </c>
      <c r="C7" s="610" t="s">
        <v>145</v>
      </c>
      <c r="D7" s="610"/>
      <c r="E7" s="610"/>
      <c r="F7" s="16" t="s">
        <v>832</v>
      </c>
      <c r="G7" s="17"/>
      <c r="H7" s="18"/>
      <c r="I7" s="18"/>
      <c r="J7" s="18"/>
    </row>
    <row r="8" spans="2:10" ht="66" customHeight="1">
      <c r="B8" s="73">
        <v>3</v>
      </c>
      <c r="C8" s="610" t="s">
        <v>146</v>
      </c>
      <c r="D8" s="610"/>
      <c r="E8" s="610"/>
      <c r="F8" s="16" t="s">
        <v>832</v>
      </c>
      <c r="G8" s="17"/>
      <c r="H8" s="18"/>
      <c r="I8" s="18"/>
      <c r="J8" s="18"/>
    </row>
    <row r="9" spans="2:10" ht="43.5" customHeight="1">
      <c r="B9" s="73">
        <v>4</v>
      </c>
      <c r="C9" s="610" t="s">
        <v>147</v>
      </c>
      <c r="D9" s="610"/>
      <c r="E9" s="610"/>
      <c r="F9" s="16" t="s">
        <v>832</v>
      </c>
      <c r="G9" s="17"/>
      <c r="H9" s="18"/>
      <c r="I9" s="18"/>
      <c r="J9" s="18"/>
    </row>
    <row r="10" spans="2:10" ht="0.75" customHeight="1">
      <c r="B10" s="606">
        <v>5</v>
      </c>
      <c r="C10" s="612" t="s">
        <v>0</v>
      </c>
      <c r="D10" s="613"/>
      <c r="E10" s="614"/>
      <c r="F10" s="609" t="s">
        <v>832</v>
      </c>
      <c r="G10" s="17"/>
      <c r="H10" s="18"/>
      <c r="I10" s="18"/>
      <c r="J10" s="18"/>
    </row>
    <row r="11" spans="1:10" ht="406.5" customHeight="1">
      <c r="A11" s="611"/>
      <c r="B11" s="607"/>
      <c r="C11" s="615"/>
      <c r="D11" s="616"/>
      <c r="E11" s="617"/>
      <c r="F11" s="609"/>
      <c r="G11" s="17"/>
      <c r="H11" s="18"/>
      <c r="I11" s="18"/>
      <c r="J11" s="18"/>
    </row>
    <row r="12" spans="1:6" ht="159" customHeight="1">
      <c r="A12" s="611"/>
      <c r="B12" s="608"/>
      <c r="C12" s="618"/>
      <c r="D12" s="619"/>
      <c r="E12" s="620"/>
      <c r="F12" s="609"/>
    </row>
  </sheetData>
  <sheetProtection/>
  <mergeCells count="11">
    <mergeCell ref="B3:F3"/>
    <mergeCell ref="C7:E7"/>
    <mergeCell ref="C5:E5"/>
    <mergeCell ref="C8:E8"/>
    <mergeCell ref="C4:E4"/>
    <mergeCell ref="B10:B12"/>
    <mergeCell ref="F10:F12"/>
    <mergeCell ref="C6:E6"/>
    <mergeCell ref="A11:A12"/>
    <mergeCell ref="C9:E9"/>
    <mergeCell ref="C10:E12"/>
  </mergeCells>
  <printOptions/>
  <pageMargins left="0.9055118110236221" right="0.5118110236220472" top="0.15748031496062992" bottom="0.3937007874015748" header="0.31496062992125984" footer="0.31496062992125984"/>
  <pageSetup fitToWidth="0" fitToHeight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I10" sqref="I10:K10"/>
    </sheetView>
  </sheetViews>
  <sheetFormatPr defaultColWidth="9.00390625" defaultRowHeight="15.75"/>
  <cols>
    <col min="1" max="1" width="5.25390625" style="0" customWidth="1"/>
    <col min="2" max="2" width="5.375" style="0" customWidth="1"/>
    <col min="5" max="5" width="17.50390625" style="0" customWidth="1"/>
    <col min="8" max="8" width="18.50390625" style="0" customWidth="1"/>
    <col min="11" max="11" width="17.75390625" style="0" customWidth="1"/>
  </cols>
  <sheetData>
    <row r="1" spans="1:12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20" t="s">
        <v>849</v>
      </c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1.25" customHeight="1">
      <c r="A3" s="19"/>
      <c r="B3" s="482" t="s">
        <v>178</v>
      </c>
      <c r="C3" s="482"/>
      <c r="D3" s="482"/>
      <c r="E3" s="482"/>
      <c r="F3" s="482"/>
      <c r="G3" s="482"/>
      <c r="H3" s="482"/>
      <c r="I3" s="482"/>
      <c r="J3" s="482"/>
      <c r="K3" s="482"/>
      <c r="L3" s="19"/>
    </row>
    <row r="4" spans="1:12" ht="98.25" customHeight="1">
      <c r="A4" s="19"/>
      <c r="B4" s="23" t="s">
        <v>138</v>
      </c>
      <c r="C4" s="624" t="s">
        <v>834</v>
      </c>
      <c r="D4" s="625"/>
      <c r="E4" s="626"/>
      <c r="F4" s="627" t="s">
        <v>148</v>
      </c>
      <c r="G4" s="627"/>
      <c r="H4" s="627"/>
      <c r="I4" s="627" t="s">
        <v>149</v>
      </c>
      <c r="J4" s="627"/>
      <c r="K4" s="627"/>
      <c r="L4" s="19"/>
    </row>
    <row r="5" spans="1:12" ht="15">
      <c r="A5" s="19"/>
      <c r="B5" s="22">
        <v>1</v>
      </c>
      <c r="C5" s="624">
        <v>2</v>
      </c>
      <c r="D5" s="625"/>
      <c r="E5" s="626"/>
      <c r="F5" s="624">
        <v>3</v>
      </c>
      <c r="G5" s="625"/>
      <c r="H5" s="626"/>
      <c r="I5" s="624">
        <v>4</v>
      </c>
      <c r="J5" s="625"/>
      <c r="K5" s="626"/>
      <c r="L5" s="19"/>
    </row>
    <row r="6" spans="1:12" ht="34.5" customHeight="1">
      <c r="A6" s="19"/>
      <c r="B6" s="576" t="s">
        <v>42</v>
      </c>
      <c r="C6" s="577"/>
      <c r="D6" s="577"/>
      <c r="E6" s="577"/>
      <c r="F6" s="577"/>
      <c r="G6" s="577"/>
      <c r="H6" s="577"/>
      <c r="I6" s="577"/>
      <c r="J6" s="577"/>
      <c r="K6" s="578"/>
      <c r="L6" s="19"/>
    </row>
    <row r="7" spans="1:12" ht="15">
      <c r="A7" s="1"/>
      <c r="B7" s="28"/>
      <c r="C7" s="492"/>
      <c r="D7" s="492"/>
      <c r="E7" s="492"/>
      <c r="F7" s="492"/>
      <c r="G7" s="492"/>
      <c r="H7" s="492"/>
      <c r="I7" s="492"/>
      <c r="J7" s="492"/>
      <c r="K7" s="492"/>
      <c r="L7" s="1"/>
    </row>
    <row r="8" spans="1:12" ht="15">
      <c r="A8" s="1"/>
      <c r="B8" s="28"/>
      <c r="C8" s="492"/>
      <c r="D8" s="492"/>
      <c r="E8" s="492"/>
      <c r="F8" s="492"/>
      <c r="G8" s="492"/>
      <c r="H8" s="492"/>
      <c r="I8" s="492"/>
      <c r="J8" s="492"/>
      <c r="K8" s="492"/>
      <c r="L8" s="1"/>
    </row>
    <row r="9" spans="1:12" ht="15">
      <c r="A9" s="1"/>
      <c r="B9" s="28"/>
      <c r="C9" s="492"/>
      <c r="D9" s="492"/>
      <c r="E9" s="492"/>
      <c r="F9" s="492"/>
      <c r="G9" s="492"/>
      <c r="H9" s="492"/>
      <c r="I9" s="492"/>
      <c r="J9" s="492"/>
      <c r="K9" s="492"/>
      <c r="L9" s="1"/>
    </row>
    <row r="10" spans="1:12" ht="15">
      <c r="A10" s="1"/>
      <c r="B10" s="28"/>
      <c r="C10" s="492"/>
      <c r="D10" s="492"/>
      <c r="E10" s="492"/>
      <c r="F10" s="492"/>
      <c r="G10" s="492"/>
      <c r="H10" s="492"/>
      <c r="I10" s="492"/>
      <c r="J10" s="492"/>
      <c r="K10" s="492"/>
      <c r="L10" s="1"/>
    </row>
    <row r="11" spans="1:12" ht="15">
      <c r="A11" s="1"/>
      <c r="B11" s="28"/>
      <c r="C11" s="492"/>
      <c r="D11" s="492"/>
      <c r="E11" s="492"/>
      <c r="F11" s="492"/>
      <c r="G11" s="492"/>
      <c r="H11" s="492"/>
      <c r="I11" s="492"/>
      <c r="J11" s="492"/>
      <c r="K11" s="492"/>
      <c r="L11" s="1"/>
    </row>
    <row r="12" spans="1:12" ht="15">
      <c r="A12" s="1"/>
      <c r="B12" s="28"/>
      <c r="C12" s="492"/>
      <c r="D12" s="492"/>
      <c r="E12" s="492"/>
      <c r="F12" s="492"/>
      <c r="G12" s="492"/>
      <c r="H12" s="492"/>
      <c r="I12" s="492"/>
      <c r="J12" s="492"/>
      <c r="K12" s="492"/>
      <c r="L12" s="1"/>
    </row>
    <row r="13" spans="1:12" ht="15">
      <c r="A13" s="1"/>
      <c r="B13" s="28"/>
      <c r="C13" s="492"/>
      <c r="D13" s="492"/>
      <c r="E13" s="492"/>
      <c r="F13" s="492"/>
      <c r="G13" s="492"/>
      <c r="H13" s="492"/>
      <c r="I13" s="492"/>
      <c r="J13" s="492"/>
      <c r="K13" s="492"/>
      <c r="L13" s="1"/>
    </row>
    <row r="14" spans="1:12" ht="15">
      <c r="A14" s="1"/>
      <c r="B14" s="28"/>
      <c r="C14" s="492"/>
      <c r="D14" s="492"/>
      <c r="E14" s="492"/>
      <c r="F14" s="492"/>
      <c r="G14" s="492"/>
      <c r="H14" s="492"/>
      <c r="I14" s="492"/>
      <c r="J14" s="492"/>
      <c r="K14" s="492"/>
      <c r="L14" s="1"/>
    </row>
    <row r="15" spans="1:12" ht="15">
      <c r="A15" s="1"/>
      <c r="B15" s="28"/>
      <c r="C15" s="492"/>
      <c r="D15" s="492"/>
      <c r="E15" s="492"/>
      <c r="F15" s="492"/>
      <c r="G15" s="492"/>
      <c r="H15" s="492"/>
      <c r="I15" s="492"/>
      <c r="J15" s="492"/>
      <c r="K15" s="492"/>
      <c r="L15" s="1"/>
    </row>
    <row r="16" spans="1:12" ht="15">
      <c r="A16" s="1"/>
      <c r="B16" s="28"/>
      <c r="C16" s="492"/>
      <c r="D16" s="492"/>
      <c r="E16" s="492"/>
      <c r="F16" s="492"/>
      <c r="G16" s="492"/>
      <c r="H16" s="492"/>
      <c r="I16" s="492"/>
      <c r="J16" s="492"/>
      <c r="K16" s="492"/>
      <c r="L16" s="1"/>
    </row>
    <row r="17" spans="1:12" ht="15">
      <c r="A17" s="1"/>
      <c r="B17" s="28"/>
      <c r="C17" s="492"/>
      <c r="D17" s="492"/>
      <c r="E17" s="492"/>
      <c r="F17" s="492"/>
      <c r="G17" s="492"/>
      <c r="H17" s="492"/>
      <c r="I17" s="492"/>
      <c r="J17" s="492"/>
      <c r="K17" s="492"/>
      <c r="L17" s="1"/>
    </row>
    <row r="18" spans="1:12" ht="15">
      <c r="A18" s="1"/>
      <c r="B18" s="28"/>
      <c r="C18" s="492"/>
      <c r="D18" s="492"/>
      <c r="E18" s="492"/>
      <c r="F18" s="492"/>
      <c r="G18" s="492"/>
      <c r="H18" s="492"/>
      <c r="I18" s="492"/>
      <c r="J18" s="492"/>
      <c r="K18" s="492"/>
      <c r="L18" s="1"/>
    </row>
    <row r="19" spans="1:12" ht="15">
      <c r="A19" s="1"/>
      <c r="B19" s="28"/>
      <c r="C19" s="492"/>
      <c r="D19" s="492"/>
      <c r="E19" s="492"/>
      <c r="F19" s="492"/>
      <c r="G19" s="492"/>
      <c r="H19" s="492"/>
      <c r="I19" s="492"/>
      <c r="J19" s="492"/>
      <c r="K19" s="492"/>
      <c r="L19" s="1"/>
    </row>
    <row r="20" spans="1:12" ht="15">
      <c r="A20" s="1"/>
      <c r="B20" s="28"/>
      <c r="C20" s="492"/>
      <c r="D20" s="492"/>
      <c r="E20" s="492"/>
      <c r="F20" s="492"/>
      <c r="G20" s="492"/>
      <c r="H20" s="492"/>
      <c r="I20" s="492"/>
      <c r="J20" s="492"/>
      <c r="K20" s="492"/>
      <c r="L20" s="1"/>
    </row>
    <row r="21" spans="1:12" ht="15">
      <c r="A21" s="1"/>
      <c r="B21" s="28"/>
      <c r="C21" s="492"/>
      <c r="D21" s="492"/>
      <c r="E21" s="492"/>
      <c r="F21" s="492"/>
      <c r="G21" s="492"/>
      <c r="H21" s="492"/>
      <c r="I21" s="492"/>
      <c r="J21" s="492"/>
      <c r="K21" s="492"/>
      <c r="L21" s="1"/>
    </row>
    <row r="22" spans="1:12" ht="15">
      <c r="A22" s="1"/>
      <c r="B22" s="28"/>
      <c r="C22" s="492"/>
      <c r="D22" s="492"/>
      <c r="E22" s="492"/>
      <c r="F22" s="492"/>
      <c r="G22" s="492"/>
      <c r="H22" s="492"/>
      <c r="I22" s="492"/>
      <c r="J22" s="492"/>
      <c r="K22" s="492"/>
      <c r="L22" s="1"/>
    </row>
    <row r="23" spans="1:12" ht="15">
      <c r="A23" s="1"/>
      <c r="B23" s="28"/>
      <c r="C23" s="492"/>
      <c r="D23" s="492"/>
      <c r="E23" s="492"/>
      <c r="F23" s="492"/>
      <c r="G23" s="492"/>
      <c r="H23" s="492"/>
      <c r="I23" s="492"/>
      <c r="J23" s="492"/>
      <c r="K23" s="492"/>
      <c r="L23" s="1"/>
    </row>
    <row r="24" spans="1:12" ht="15">
      <c r="A24" s="1"/>
      <c r="B24" s="28"/>
      <c r="C24" s="492"/>
      <c r="D24" s="492"/>
      <c r="E24" s="492"/>
      <c r="F24" s="492"/>
      <c r="G24" s="492"/>
      <c r="H24" s="492"/>
      <c r="I24" s="492"/>
      <c r="J24" s="492"/>
      <c r="K24" s="492"/>
      <c r="L24" s="1"/>
    </row>
    <row r="25" spans="1:12" ht="15">
      <c r="A25" s="1"/>
      <c r="B25" s="28"/>
      <c r="C25" s="492"/>
      <c r="D25" s="492"/>
      <c r="E25" s="492"/>
      <c r="F25" s="492"/>
      <c r="G25" s="492"/>
      <c r="H25" s="492"/>
      <c r="I25" s="492"/>
      <c r="J25" s="492"/>
      <c r="K25" s="492"/>
      <c r="L25" s="1"/>
    </row>
  </sheetData>
  <sheetProtection/>
  <mergeCells count="65">
    <mergeCell ref="B6:K6"/>
    <mergeCell ref="C5:E5"/>
    <mergeCell ref="F5:H5"/>
    <mergeCell ref="I5:K5"/>
    <mergeCell ref="B3:K3"/>
    <mergeCell ref="C4:E4"/>
    <mergeCell ref="F4:H4"/>
    <mergeCell ref="I4:K4"/>
    <mergeCell ref="C13:E13"/>
    <mergeCell ref="C14:E14"/>
    <mergeCell ref="C15:E15"/>
    <mergeCell ref="C16:E16"/>
    <mergeCell ref="C9:E9"/>
    <mergeCell ref="C10:E10"/>
    <mergeCell ref="C11:E11"/>
    <mergeCell ref="C12:E12"/>
    <mergeCell ref="C22:E22"/>
    <mergeCell ref="F7:H7"/>
    <mergeCell ref="F8:H8"/>
    <mergeCell ref="F9:H9"/>
    <mergeCell ref="F10:H10"/>
    <mergeCell ref="C17:E17"/>
    <mergeCell ref="C7:E7"/>
    <mergeCell ref="C8:E8"/>
    <mergeCell ref="C18:E18"/>
    <mergeCell ref="C19:E19"/>
    <mergeCell ref="I17:K17"/>
    <mergeCell ref="C20:E20"/>
    <mergeCell ref="C21:E21"/>
    <mergeCell ref="F18:H18"/>
    <mergeCell ref="F19:H19"/>
    <mergeCell ref="F20:H20"/>
    <mergeCell ref="F21:H21"/>
    <mergeCell ref="F11:H11"/>
    <mergeCell ref="F12:H12"/>
    <mergeCell ref="F13:H13"/>
    <mergeCell ref="F14:H14"/>
    <mergeCell ref="F15:H15"/>
    <mergeCell ref="F16:H1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23:K23"/>
    <mergeCell ref="I24:K24"/>
    <mergeCell ref="I25:K25"/>
    <mergeCell ref="I18:K18"/>
    <mergeCell ref="I19:K19"/>
    <mergeCell ref="I20:K20"/>
    <mergeCell ref="I21:K21"/>
    <mergeCell ref="I22:K22"/>
    <mergeCell ref="I16:K16"/>
    <mergeCell ref="C24:E24"/>
    <mergeCell ref="C25:E25"/>
    <mergeCell ref="F23:H23"/>
    <mergeCell ref="F24:H24"/>
    <mergeCell ref="F25:H25"/>
    <mergeCell ref="C23:E23"/>
    <mergeCell ref="F22:H22"/>
    <mergeCell ref="F17:H17"/>
  </mergeCells>
  <printOptions/>
  <pageMargins left="0.9055118110236221" right="0.5118110236220472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zoomScalePageLayoutView="0" workbookViewId="0" topLeftCell="A1">
      <selection activeCell="I4" sqref="I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12.25390625" style="0" customWidth="1"/>
    <col min="4" max="4" width="14.875" style="0" customWidth="1"/>
    <col min="5" max="5" width="12.625" style="0" customWidth="1"/>
    <col min="6" max="6" width="16.125" style="0" customWidth="1"/>
    <col min="7" max="7" width="15.25390625" style="0" customWidth="1"/>
    <col min="8" max="8" width="12.25390625" style="0" customWidth="1"/>
    <col min="9" max="9" width="17.50390625" style="0" customWidth="1"/>
    <col min="10" max="10" width="16.75390625" style="0" customWidth="1"/>
    <col min="11" max="11" width="16.25390625" style="0" customWidth="1"/>
    <col min="12" max="12" width="17.125" style="0" customWidth="1"/>
    <col min="13" max="13" width="17.75390625" style="0" customWidth="1"/>
  </cols>
  <sheetData>
    <row r="1" ht="15">
      <c r="M1" s="11" t="s">
        <v>850</v>
      </c>
    </row>
    <row r="3" spans="2:13" ht="23.25" customHeight="1">
      <c r="B3" s="628" t="s">
        <v>835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</row>
    <row r="4" spans="2:13" ht="216" customHeight="1">
      <c r="B4" s="8" t="s">
        <v>549</v>
      </c>
      <c r="C4" s="8" t="s">
        <v>548</v>
      </c>
      <c r="D4" s="8" t="s">
        <v>550</v>
      </c>
      <c r="E4" s="8" t="s">
        <v>551</v>
      </c>
      <c r="F4" s="8" t="s">
        <v>552</v>
      </c>
      <c r="G4" s="8" t="s">
        <v>853</v>
      </c>
      <c r="H4" s="8" t="s">
        <v>854</v>
      </c>
      <c r="I4" s="8" t="s">
        <v>855</v>
      </c>
      <c r="J4" s="8" t="s">
        <v>838</v>
      </c>
      <c r="K4" s="8" t="s">
        <v>840</v>
      </c>
      <c r="L4" s="8" t="s">
        <v>839</v>
      </c>
      <c r="M4" s="8" t="s">
        <v>841</v>
      </c>
    </row>
    <row r="5" spans="2:13" ht="1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</row>
    <row r="6" spans="2:1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sheetProtection/>
  <mergeCells count="1">
    <mergeCell ref="B3:M3"/>
  </mergeCells>
  <printOptions/>
  <pageMargins left="0.9055118110236221" right="0.5118110236220472" top="0.5511811023622047" bottom="0.5511811023622047" header="0.31496062992125984" footer="0.31496062992125984"/>
  <pageSetup fitToHeight="0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0"/>
  <sheetViews>
    <sheetView zoomScale="75" zoomScaleNormal="75" zoomScalePageLayoutView="0" workbookViewId="0" topLeftCell="C7">
      <selection activeCell="L14" sqref="L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  <col min="17" max="17" width="8.125" style="0" customWidth="1"/>
  </cols>
  <sheetData>
    <row r="1" ht="15">
      <c r="O1" s="11" t="s">
        <v>850</v>
      </c>
    </row>
    <row r="3" spans="2:15" ht="23.25" customHeight="1">
      <c r="B3" s="628" t="s">
        <v>493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987</v>
      </c>
      <c r="K4" s="9" t="s">
        <v>988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25.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512</v>
      </c>
      <c r="H6" s="635">
        <v>0.28</v>
      </c>
      <c r="I6" s="632" t="s">
        <v>515</v>
      </c>
      <c r="J6" s="72">
        <v>3.5</v>
      </c>
      <c r="K6" s="24"/>
      <c r="L6" s="24">
        <v>3.51</v>
      </c>
      <c r="M6" s="24"/>
      <c r="N6" s="629" t="s">
        <v>513</v>
      </c>
      <c r="O6" s="24"/>
    </row>
    <row r="7" spans="2:15" ht="21.7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72">
        <v>0.03</v>
      </c>
      <c r="K7" s="24"/>
      <c r="L7" s="24">
        <v>0.04</v>
      </c>
      <c r="M7" s="24"/>
      <c r="N7" s="630"/>
      <c r="O7" s="24"/>
    </row>
    <row r="8" spans="2:15" ht="40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72">
        <f>2.84+0.19+0.3+1.35+1.42</f>
        <v>6.1</v>
      </c>
      <c r="K8" s="24"/>
      <c r="L8" s="24">
        <f>2.97+0.2+0.31+1.41+1.49</f>
        <v>6.380000000000001</v>
      </c>
      <c r="M8" s="24"/>
      <c r="N8" s="630"/>
      <c r="O8" s="24"/>
    </row>
    <row r="9" spans="2:15" ht="40.5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991</v>
      </c>
      <c r="I9" s="633"/>
      <c r="J9" s="72">
        <f>0.41+0.05+0.18+0.23+0.06+0.02+0.5+0.04+0.09+0.95+0.17+0.19+0.02+0.02+0.05+0.07</f>
        <v>3.05</v>
      </c>
      <c r="K9" s="24"/>
      <c r="L9" s="24">
        <f>0.43+0.05+0.19+0.24+0.06+0.02+0.52+0.04+0.09+0.28+0.21+0.2+0.02+0.02+0.05+0.07</f>
        <v>2.49</v>
      </c>
      <c r="M9" s="24"/>
      <c r="N9" s="630"/>
      <c r="O9" s="24"/>
    </row>
    <row r="10" spans="2:19" ht="38.2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72">
        <f>0.33+0.12+0.07+0.25+0.47+0.02+0.57+0.06+0.02+0.04</f>
        <v>1.9500000000000002</v>
      </c>
      <c r="K10" s="68">
        <f>ROUND(J10*2750.6/920,2)</f>
        <v>5.83</v>
      </c>
      <c r="L10" s="68">
        <v>2.42</v>
      </c>
      <c r="M10" s="68">
        <f>ROUND(L10*2750.6/920,2)</f>
        <v>7.24</v>
      </c>
      <c r="N10" s="630"/>
      <c r="O10" s="68">
        <f>(J10+L10)/2*2750.6*2</f>
        <v>12020.122</v>
      </c>
      <c r="Q10" s="61"/>
      <c r="S10" s="61"/>
    </row>
    <row r="11" spans="2:19" ht="48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72">
        <f>0.06+0.27+0.37+0.02+0.04+0.03+0.04+0.42</f>
        <v>1.25</v>
      </c>
      <c r="K11" s="68">
        <f>ROUND(J11*2750.6/542,2)</f>
        <v>6.34</v>
      </c>
      <c r="L11" s="68">
        <f>0.06+0.27+0.37+0.02+0.04+0.03+0.04+0.44</f>
        <v>1.27</v>
      </c>
      <c r="M11" s="68">
        <f>ROUND(L11*2750.6/542,2)</f>
        <v>6.45</v>
      </c>
      <c r="N11" s="630"/>
      <c r="O11" s="24"/>
      <c r="Q11" s="61"/>
      <c r="S11" s="61"/>
    </row>
    <row r="12" spans="2:19" ht="40.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72">
        <f>0.08+0.04+0.02+0.23+0.45+0.03+0.06</f>
        <v>0.9100000000000001</v>
      </c>
      <c r="K12" s="68">
        <f>ROUND(J12*2750.6/520,2)</f>
        <v>4.81</v>
      </c>
      <c r="L12" s="68">
        <f>0.08+0.24+0.47+0.03+0.04+0.02+0.06</f>
        <v>0.9400000000000002</v>
      </c>
      <c r="M12" s="68">
        <f>ROUND(L12*2750.6/520,2)</f>
        <v>4.97</v>
      </c>
      <c r="N12" s="630"/>
      <c r="O12" s="24"/>
      <c r="Q12" s="61"/>
      <c r="S12" s="61"/>
    </row>
    <row r="13" spans="2:19" ht="40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72">
        <f>0.04+0.35+0.11+0.03+0.12+0.03+0.38+0.12+0.23+0.03+0.02+0.04+0.15+0.94+0.08+0.02+0.05</f>
        <v>2.7399999999999998</v>
      </c>
      <c r="K13" s="68">
        <f>ROUND(J13*2750.6/1500,2)</f>
        <v>5.02</v>
      </c>
      <c r="L13" s="68">
        <f>0.37+0.11+0.03+0.13+0.03+0.4+0.05+0.16+1.08+0.21+0.7</f>
        <v>3.2700000000000005</v>
      </c>
      <c r="M13" s="68">
        <f>ROUND(L13*2750.6/1500,2)</f>
        <v>6</v>
      </c>
      <c r="N13" s="630"/>
      <c r="O13" s="68">
        <f>(J13+L13)/2*2750.6</f>
        <v>8265.553</v>
      </c>
      <c r="Q13" s="61"/>
      <c r="S13" s="61"/>
    </row>
    <row r="14" spans="2:19" ht="40.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72">
        <v>0.29</v>
      </c>
      <c r="K14" s="68"/>
      <c r="L14" s="68">
        <f>0.13+0.18</f>
        <v>0.31</v>
      </c>
      <c r="M14" s="68"/>
      <c r="N14" s="630"/>
      <c r="O14" s="24"/>
      <c r="Q14" s="61"/>
      <c r="S14" s="61"/>
    </row>
    <row r="15" spans="2:15" ht="4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72">
        <f>0.31+1.99+0.45+0.19+0.08</f>
        <v>3.02</v>
      </c>
      <c r="K15" s="24"/>
      <c r="L15" s="24">
        <f>0.32+2.05+0.48+0.2+0.08</f>
        <v>3.13</v>
      </c>
      <c r="M15" s="24"/>
      <c r="N15" s="630"/>
      <c r="O15" s="24"/>
    </row>
    <row r="16" spans="2:15" ht="66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72">
        <v>0.03</v>
      </c>
      <c r="K16" s="24"/>
      <c r="L16" s="24">
        <v>0.03</v>
      </c>
      <c r="M16" s="24"/>
      <c r="N16" s="630"/>
      <c r="O16" s="24"/>
    </row>
    <row r="17" spans="2:15" ht="43.5" customHeight="1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72">
        <v>0.1</v>
      </c>
      <c r="K17" s="24"/>
      <c r="L17" s="35">
        <v>0.1</v>
      </c>
      <c r="M17" s="24"/>
      <c r="N17" s="630"/>
      <c r="O17" s="24"/>
    </row>
    <row r="18" spans="2:15" ht="27" customHeight="1">
      <c r="B18" s="32" t="s">
        <v>395</v>
      </c>
      <c r="C18" s="34" t="s">
        <v>505</v>
      </c>
      <c r="D18" s="634"/>
      <c r="E18" s="634"/>
      <c r="F18" s="631"/>
      <c r="G18" s="634"/>
      <c r="H18" s="631"/>
      <c r="I18" s="634"/>
      <c r="J18" s="72">
        <v>2.37</v>
      </c>
      <c r="K18" s="24"/>
      <c r="L18" s="24">
        <v>2.46</v>
      </c>
      <c r="M18" s="24"/>
      <c r="N18" s="631"/>
      <c r="O18" s="24"/>
    </row>
    <row r="19" spans="2:16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1"/>
    </row>
    <row r="20" spans="2:16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1"/>
    </row>
    <row r="21" spans="2:16" ht="15">
      <c r="B21" s="57"/>
      <c r="C21" s="30"/>
      <c r="D21" s="58"/>
      <c r="E21" s="58"/>
      <c r="F21" s="58"/>
      <c r="G21" s="58"/>
      <c r="H21" s="58"/>
      <c r="I21" s="58"/>
      <c r="J21" s="59"/>
      <c r="K21" s="58"/>
      <c r="L21" s="58"/>
      <c r="M21" s="58"/>
      <c r="N21" s="58"/>
      <c r="O21" s="58"/>
      <c r="P21" s="1"/>
    </row>
    <row r="22" spans="2:16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1"/>
    </row>
    <row r="23" spans="2:16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1"/>
    </row>
    <row r="24" spans="2:16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1"/>
    </row>
    <row r="25" spans="2:16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1"/>
    </row>
    <row r="26" spans="2:16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1"/>
    </row>
    <row r="27" spans="2:16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1"/>
    </row>
    <row r="28" spans="2:16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1"/>
    </row>
    <row r="29" spans="2:16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1"/>
    </row>
    <row r="30" spans="2:16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1"/>
    </row>
    <row r="31" spans="2:16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1"/>
    </row>
    <row r="32" spans="2:16" ht="15">
      <c r="B32" s="57"/>
      <c r="C32" s="3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1"/>
    </row>
    <row r="33" spans="2:16" ht="15">
      <c r="B33" s="57"/>
      <c r="C33" s="30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1"/>
    </row>
    <row r="34" spans="2:16" ht="15">
      <c r="B34" s="60"/>
      <c r="C34" s="1"/>
      <c r="D34" s="1"/>
      <c r="E34" s="1"/>
      <c r="F34" s="1"/>
      <c r="G34" s="1"/>
      <c r="H34" s="1"/>
      <c r="I34" s="1"/>
      <c r="J34" s="1"/>
      <c r="K34" s="1"/>
      <c r="L34" s="28"/>
      <c r="M34" s="28"/>
      <c r="N34" s="1"/>
      <c r="O34" s="1"/>
      <c r="P34" s="1"/>
    </row>
    <row r="35" ht="15">
      <c r="B35" s="33"/>
    </row>
    <row r="36" ht="15">
      <c r="B36" s="33"/>
    </row>
    <row r="37" ht="15">
      <c r="B37" s="33"/>
    </row>
    <row r="38" ht="15">
      <c r="B38" s="33"/>
    </row>
    <row r="39" ht="15">
      <c r="B39" s="33"/>
    </row>
    <row r="40" ht="15">
      <c r="B40" s="33"/>
    </row>
  </sheetData>
  <sheetProtection/>
  <mergeCells count="9">
    <mergeCell ref="B3:O3"/>
    <mergeCell ref="F6:F18"/>
    <mergeCell ref="G6:G18"/>
    <mergeCell ref="I6:I18"/>
    <mergeCell ref="N6:N18"/>
    <mergeCell ref="E6:E18"/>
    <mergeCell ref="D6:D18"/>
    <mergeCell ref="H9:H18"/>
    <mergeCell ref="H6:H8"/>
  </mergeCells>
  <printOptions/>
  <pageMargins left="0.11811023622047245" right="0.1968503937007874" top="0.15748031496062992" bottom="0" header="0.31496062992125984" footer="0.31496062992125984"/>
  <pageSetup fitToHeight="0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38"/>
  <sheetViews>
    <sheetView zoomScale="75" zoomScaleNormal="75" zoomScalePageLayoutView="0" workbookViewId="0" topLeftCell="G7">
      <selection activeCell="H19" sqref="H19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6.3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514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21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517</v>
      </c>
      <c r="H6" s="640">
        <v>0.28</v>
      </c>
      <c r="I6" s="638" t="s">
        <v>518</v>
      </c>
      <c r="J6" s="72">
        <v>3.5</v>
      </c>
      <c r="K6" s="24"/>
      <c r="L6" s="24">
        <v>3.51</v>
      </c>
      <c r="M6" s="24"/>
      <c r="N6" s="637" t="s">
        <v>513</v>
      </c>
      <c r="O6" s="24"/>
    </row>
    <row r="7" spans="2:15" ht="21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24"/>
      <c r="L7" s="24">
        <v>0.04</v>
      </c>
      <c r="M7" s="24"/>
      <c r="N7" s="637"/>
      <c r="O7" s="24"/>
    </row>
    <row r="8" spans="2:15" ht="39.7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24"/>
      <c r="L8" s="24">
        <f>2.97+0.2+0.31+1.41+1.49</f>
        <v>6.380000000000001</v>
      </c>
      <c r="M8" s="24"/>
      <c r="N8" s="637"/>
      <c r="O8" s="24"/>
    </row>
    <row r="9" spans="2:15" ht="42.75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24"/>
      <c r="L9" s="24">
        <f>0.43+0.05+0.19+0.24+0.06+0.02+0.52+0.04+0.09+0.28+0.21+0.2+0.02+0.02+0.05+0.07</f>
        <v>2.49</v>
      </c>
      <c r="M9" s="24"/>
      <c r="N9" s="637"/>
      <c r="O9" s="24"/>
    </row>
    <row r="10" spans="2:19" ht="30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ROUND(J10*3447.6/750,2)</f>
        <v>8.96</v>
      </c>
      <c r="L10" s="68">
        <v>2.42</v>
      </c>
      <c r="M10" s="68">
        <f>ROUND(L10*3447.6/750,2)</f>
        <v>11.12</v>
      </c>
      <c r="N10" s="637"/>
      <c r="O10" s="68">
        <f>(J10+L10)/2*3447.6*2</f>
        <v>15066.012</v>
      </c>
      <c r="Q10" s="61"/>
      <c r="S10" s="61"/>
    </row>
    <row r="11" spans="2:19" ht="39.7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ROUND(J11*3447.6/670,2)</f>
        <v>6.43</v>
      </c>
      <c r="L11" s="68">
        <f>0.06+0.27+0.37+0.02+0.04+0.03+0.04+0.44</f>
        <v>1.27</v>
      </c>
      <c r="M11" s="68">
        <f>ROUND(L11*3447.6/670,2)</f>
        <v>6.54</v>
      </c>
      <c r="N11" s="637"/>
      <c r="O11" s="24"/>
      <c r="Q11" s="61"/>
      <c r="S11" s="61"/>
    </row>
    <row r="12" spans="2:19" ht="43.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ROUND(J12*3447.6/400,2)</f>
        <v>7.84</v>
      </c>
      <c r="L12" s="68">
        <f>0.08+0.24+0.47+0.03+0.04+0.02+0.06</f>
        <v>0.9400000000000002</v>
      </c>
      <c r="M12" s="68">
        <f>ROUND(L12*3447.6/400,2)</f>
        <v>8.1</v>
      </c>
      <c r="N12" s="637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ROUND(J13*3447.6/1600,2)</f>
        <v>5.9</v>
      </c>
      <c r="L13" s="68">
        <f>0.37+0.11+0.03+0.13+0.03+0.4+0.05+0.16+1.08+0.21+0.7</f>
        <v>3.2700000000000005</v>
      </c>
      <c r="M13" s="68">
        <f>ROUND(L13*3447.6/1600,2)</f>
        <v>7.05</v>
      </c>
      <c r="N13" s="637"/>
      <c r="O13" s="68">
        <f>(J13+L13)/2*3447.6</f>
        <v>10360.037999999999</v>
      </c>
      <c r="Q13" s="61"/>
      <c r="S13" s="61"/>
    </row>
    <row r="14" spans="2:15" ht="33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24"/>
      <c r="L14" s="68">
        <f>0.13+0.18</f>
        <v>0.31</v>
      </c>
      <c r="M14" s="24"/>
      <c r="N14" s="637"/>
      <c r="O14" s="24"/>
    </row>
    <row r="15" spans="2:15" ht="42.7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24"/>
      <c r="L15" s="24">
        <f>0.32+2.05+0.48+0.2+0.08</f>
        <v>3.13</v>
      </c>
      <c r="M15" s="24"/>
      <c r="N15" s="637"/>
      <c r="O15" s="24"/>
    </row>
    <row r="16" spans="2:15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24"/>
      <c r="L16" s="24">
        <v>0.03</v>
      </c>
      <c r="M16" s="24"/>
      <c r="N16" s="637"/>
      <c r="O16" s="24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37"/>
      <c r="O17" s="24"/>
    </row>
    <row r="18" spans="2:15" ht="27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37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15748031496062992" bottom="0" header="0" footer="0"/>
  <pageSetup fitToHeight="0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zoomScale="75" zoomScaleNormal="75" zoomScalePageLayoutView="0" workbookViewId="0" topLeftCell="G10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516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526</v>
      </c>
      <c r="H6" s="640">
        <v>0.279</v>
      </c>
      <c r="I6" s="638" t="s">
        <v>522</v>
      </c>
      <c r="J6" s="72">
        <v>3.5</v>
      </c>
      <c r="K6" s="69"/>
      <c r="L6" s="24">
        <v>3.51</v>
      </c>
      <c r="M6" s="69"/>
      <c r="N6" s="641" t="s">
        <v>513</v>
      </c>
      <c r="O6" s="69"/>
    </row>
    <row r="7" spans="2:15" ht="33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</row>
    <row r="8" spans="2:15" ht="48.7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</row>
    <row r="9" spans="2:15" ht="46.5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</row>
    <row r="10" spans="2:17" ht="35.2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ROUND(J10*3091.6/920,2)</f>
        <v>6.55</v>
      </c>
      <c r="L10" s="68">
        <v>2.42</v>
      </c>
      <c r="M10" s="68">
        <f>ROUND(L10*3091.6/920,2)</f>
        <v>8.13</v>
      </c>
      <c r="N10" s="641"/>
      <c r="O10" s="68">
        <f>(J10+L10)/2*3091.6*2</f>
        <v>13510.292</v>
      </c>
      <c r="Q10" s="61"/>
    </row>
    <row r="11" spans="2:17" ht="47.2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ROUND(J11*3091.6/1034,2)</f>
        <v>3.74</v>
      </c>
      <c r="L11" s="68">
        <f>0.06+0.27+0.37+0.02+0.04+0.03+0.04+0.44</f>
        <v>1.27</v>
      </c>
      <c r="M11" s="68">
        <f>ROUND(L11*3091.6/1034,2)</f>
        <v>3.8</v>
      </c>
      <c r="N11" s="641"/>
      <c r="O11" s="24"/>
      <c r="Q11" s="61"/>
    </row>
    <row r="12" spans="2:17" ht="46.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ROUND(J12*3091.6/520,2)</f>
        <v>5.41</v>
      </c>
      <c r="L12" s="68">
        <f>0.08+0.24+0.47+0.03+0.04+0.02+0.06</f>
        <v>0.9400000000000002</v>
      </c>
      <c r="M12" s="68">
        <f>ROUND(L12*3091.6/520,2)</f>
        <v>5.59</v>
      </c>
      <c r="N12" s="641"/>
      <c r="O12" s="24"/>
      <c r="Q12" s="61"/>
    </row>
    <row r="13" spans="2:17" ht="39.7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ROUND(J13*3091.6/1600,2)</f>
        <v>5.29</v>
      </c>
      <c r="L13" s="68">
        <f>0.37+0.11+0.03+0.13+0.03+0.4+0.05+0.16+1.08+0.21+0.7</f>
        <v>3.2700000000000005</v>
      </c>
      <c r="M13" s="68">
        <f>ROUND(L13*3091.6/1600,2)</f>
        <v>6.32</v>
      </c>
      <c r="N13" s="641"/>
      <c r="O13" s="68">
        <f>(J13+L13)/2*3091.6</f>
        <v>9290.258</v>
      </c>
      <c r="Q13" s="61"/>
    </row>
    <row r="14" spans="2:15" ht="4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15748031496062992" bottom="0" header="0" footer="0"/>
  <pageSetup fitToHeight="0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zoomScale="75" zoomScaleNormal="75" zoomScalePageLayoutView="0" workbookViewId="0" topLeftCell="G7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523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119</v>
      </c>
      <c r="H6" s="640">
        <v>0.28</v>
      </c>
      <c r="I6" s="638" t="s">
        <v>120</v>
      </c>
      <c r="J6" s="72">
        <v>3.5</v>
      </c>
      <c r="K6" s="69"/>
      <c r="L6" s="24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</row>
    <row r="10" spans="2:17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ROUND(J10*2287.5/450,2)</f>
        <v>9.91</v>
      </c>
      <c r="L10" s="68">
        <v>2.42</v>
      </c>
      <c r="M10" s="68">
        <f>ROUND(L10*2287.5/450,2)</f>
        <v>12.3</v>
      </c>
      <c r="N10" s="641"/>
      <c r="O10" s="68">
        <f>(J10+L10)/2*2287.5*2</f>
        <v>9996.375</v>
      </c>
      <c r="Q10" s="61"/>
    </row>
    <row r="11" spans="2:17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ROUND(J11*2287.5/374,2)</f>
        <v>7.65</v>
      </c>
      <c r="L11" s="68">
        <f>0.06+0.27+0.37+0.02+0.04+0.03+0.04+0.44</f>
        <v>1.27</v>
      </c>
      <c r="M11" s="68">
        <f>ROUND(L11*2287.5/374,2)</f>
        <v>7.77</v>
      </c>
      <c r="N11" s="641"/>
      <c r="O11" s="24"/>
      <c r="Q11" s="61"/>
    </row>
    <row r="12" spans="2:17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ROUND(J12*2287.5/240,2)</f>
        <v>8.67</v>
      </c>
      <c r="L12" s="68">
        <f>0.08+0.24+0.47+0.03+0.04+0.02+0.06</f>
        <v>0.9400000000000002</v>
      </c>
      <c r="M12" s="68">
        <f>ROUND(L12*2287.5/240,2)</f>
        <v>8.96</v>
      </c>
      <c r="N12" s="641"/>
      <c r="O12" s="24"/>
      <c r="Q12" s="61"/>
    </row>
    <row r="13" spans="2:17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ROUND(J13*2287.5/1008,2)</f>
        <v>6.22</v>
      </c>
      <c r="L13" s="68">
        <f>0.37+0.11+0.03+0.13+0.03+0.4+0.05+0.16+1.08+0.21+0.7</f>
        <v>3.2700000000000005</v>
      </c>
      <c r="M13" s="68">
        <f>ROUND(L13*2287.5/1008,2)</f>
        <v>7.42</v>
      </c>
      <c r="N13" s="641"/>
      <c r="O13" s="68">
        <f>(J13+L13)/2*2287.5</f>
        <v>6873.9375</v>
      </c>
      <c r="Q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zoomScale="75" zoomScaleNormal="75" zoomScalePageLayoutView="0" workbookViewId="0" topLeftCell="G4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121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123</v>
      </c>
      <c r="H6" s="640">
        <v>0.256</v>
      </c>
      <c r="I6" s="638" t="s">
        <v>124</v>
      </c>
      <c r="J6" s="72">
        <v>3.5</v>
      </c>
      <c r="K6" s="69"/>
      <c r="L6" s="24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</row>
    <row r="10" spans="2:17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ROUND(J10*2226.1/450,2)</f>
        <v>9.65</v>
      </c>
      <c r="L10" s="68">
        <v>2.42</v>
      </c>
      <c r="M10" s="68">
        <f>ROUND(L10*2226.1/450,2)</f>
        <v>11.97</v>
      </c>
      <c r="N10" s="641"/>
      <c r="O10" s="68">
        <f>(J10+L10)/2*2226.1*2</f>
        <v>9728.057</v>
      </c>
      <c r="Q10" s="61"/>
    </row>
    <row r="11" spans="2:17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ROUND(J11*2226.1/354,2)</f>
        <v>7.86</v>
      </c>
      <c r="L11" s="68">
        <f>0.06+0.27+0.37+0.02+0.04+0.03+0.04+0.44</f>
        <v>1.27</v>
      </c>
      <c r="M11" s="68">
        <f>ROUND(L11*2226.1/354,2)</f>
        <v>7.99</v>
      </c>
      <c r="N11" s="641"/>
      <c r="O11" s="24"/>
      <c r="Q11" s="61"/>
    </row>
    <row r="12" spans="2:17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ROUND(J12*2226.1/240,2)</f>
        <v>8.44</v>
      </c>
      <c r="L12" s="68">
        <f>0.08+0.24+0.47+0.03+0.04+0.02+0.06</f>
        <v>0.9400000000000002</v>
      </c>
      <c r="M12" s="68">
        <f>ROUND(L12*2226.1/240,2)</f>
        <v>8.72</v>
      </c>
      <c r="N12" s="641"/>
      <c r="O12" s="24"/>
      <c r="Q12" s="61"/>
    </row>
    <row r="13" spans="2:17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ROUND(J13*2226.1/1008,2)</f>
        <v>6.05</v>
      </c>
      <c r="L13" s="68">
        <f>0.37+0.11+0.03+0.13+0.03+0.4+0.05+0.16+1.08+0.21+0.7</f>
        <v>3.2700000000000005</v>
      </c>
      <c r="M13" s="68">
        <f>ROUND(L13*2226.1/1008,2)</f>
        <v>7.22</v>
      </c>
      <c r="N13" s="641"/>
      <c r="O13" s="68">
        <f>(J13+L13)/2*2226.1</f>
        <v>6689.4304999999995</v>
      </c>
      <c r="Q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zoomScale="75" zoomScaleNormal="75" zoomScalePageLayoutView="0" workbookViewId="0" topLeftCell="G7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509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510</v>
      </c>
      <c r="H6" s="640">
        <v>0.256</v>
      </c>
      <c r="I6" s="638" t="s">
        <v>511</v>
      </c>
      <c r="J6" s="72">
        <v>3.5</v>
      </c>
      <c r="K6" s="69"/>
      <c r="L6" s="24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</row>
    <row r="10" spans="2:17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ROUND(J10*2098.1/450,2)</f>
        <v>9.09</v>
      </c>
      <c r="L10" s="68">
        <v>2.42</v>
      </c>
      <c r="M10" s="68">
        <f>ROUND(L10*2098.1/450,2)</f>
        <v>11.28</v>
      </c>
      <c r="N10" s="641"/>
      <c r="O10" s="68">
        <f>(J10+L10)/2*2098.1*2</f>
        <v>9168.697</v>
      </c>
      <c r="Q10" s="61"/>
    </row>
    <row r="11" spans="2:17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ROUND(J11*2098.1/354,2)</f>
        <v>7.41</v>
      </c>
      <c r="L11" s="68">
        <f>0.06+0.27+0.37+0.02+0.04+0.03+0.04+0.44</f>
        <v>1.27</v>
      </c>
      <c r="M11" s="68">
        <f>ROUND(L11*2098.1/354,2)</f>
        <v>7.53</v>
      </c>
      <c r="N11" s="641"/>
      <c r="O11" s="24"/>
      <c r="Q11" s="61"/>
    </row>
    <row r="12" spans="2:17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ROUND(J12*2098.1/240,2)</f>
        <v>7.96</v>
      </c>
      <c r="L12" s="68">
        <f>0.08+0.24+0.47+0.03+0.04+0.02+0.06</f>
        <v>0.9400000000000002</v>
      </c>
      <c r="M12" s="68">
        <f>ROUND(L12*2098.1/240,2)</f>
        <v>8.22</v>
      </c>
      <c r="N12" s="641"/>
      <c r="O12" s="24"/>
      <c r="Q12" s="61"/>
    </row>
    <row r="13" spans="2:17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ROUND(J13*2098.1/1008,2)</f>
        <v>5.7</v>
      </c>
      <c r="L13" s="68">
        <f>0.37+0.11+0.03+0.13+0.03+0.4+0.05+0.16+1.08+0.21+0.7</f>
        <v>3.2700000000000005</v>
      </c>
      <c r="M13" s="68">
        <f>ROUND(L13*2098.1/1008,2)</f>
        <v>6.81</v>
      </c>
      <c r="N13" s="641"/>
      <c r="O13" s="68">
        <f>(J13+L13)/2*2098.1</f>
        <v>6304.790499999999</v>
      </c>
      <c r="Q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zoomScale="75" zoomScaleNormal="75" zoomScalePageLayoutView="0" workbookViewId="0" topLeftCell="H7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43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44</v>
      </c>
      <c r="H6" s="640">
        <v>0.261</v>
      </c>
      <c r="I6" s="638" t="s">
        <v>490</v>
      </c>
      <c r="J6" s="72">
        <v>3.5</v>
      </c>
      <c r="K6" s="69"/>
      <c r="L6" s="24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</row>
    <row r="10" spans="2:17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ROUND(J10*3461.7/750,2)</f>
        <v>9</v>
      </c>
      <c r="L10" s="68">
        <v>2.42</v>
      </c>
      <c r="M10" s="68">
        <f>ROUND(L10*3461.7/750,2)</f>
        <v>11.17</v>
      </c>
      <c r="N10" s="641"/>
      <c r="O10" s="68">
        <f>(J10+L10)/2*3461.7*2</f>
        <v>15127.628999999999</v>
      </c>
      <c r="Q10" s="61"/>
    </row>
    <row r="11" spans="2:17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ROUND(J11*3461.7/670,2)</f>
        <v>6.46</v>
      </c>
      <c r="L11" s="68">
        <f>0.06+0.27+0.37+0.02+0.04+0.03+0.04+0.44</f>
        <v>1.27</v>
      </c>
      <c r="M11" s="68">
        <f>ROUND(L11*3461.7/670,2)</f>
        <v>6.56</v>
      </c>
      <c r="N11" s="641"/>
      <c r="O11" s="24"/>
      <c r="Q11" s="61"/>
    </row>
    <row r="12" spans="2:17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ROUND(J12*3461.7/400,2)</f>
        <v>7.88</v>
      </c>
      <c r="L12" s="68">
        <f>0.08+0.24+0.47+0.03+0.04+0.02+0.06</f>
        <v>0.9400000000000002</v>
      </c>
      <c r="M12" s="68">
        <f>ROUND(L12*3461.7/400,2)</f>
        <v>8.13</v>
      </c>
      <c r="N12" s="641"/>
      <c r="O12" s="24"/>
      <c r="Q12" s="61"/>
    </row>
    <row r="13" spans="2:17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ROUND(J13*3461.7/1680,2)</f>
        <v>5.65</v>
      </c>
      <c r="L13" s="68">
        <f>0.37+0.11+0.03+0.13+0.03+0.4+0.05+0.16+1.08+0.21+0.7</f>
        <v>3.2700000000000005</v>
      </c>
      <c r="M13" s="68">
        <f>ROUND(L13*3461.7/1680,2)</f>
        <v>6.74</v>
      </c>
      <c r="N13" s="641"/>
      <c r="O13" s="68">
        <f>(J13+L13)/2*3461.7</f>
        <v>10402.4085</v>
      </c>
      <c r="Q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zoomScalePageLayoutView="0" workbookViewId="0" topLeftCell="A1">
      <selection activeCell="F5" sqref="F5:F28"/>
    </sheetView>
  </sheetViews>
  <sheetFormatPr defaultColWidth="9.00390625" defaultRowHeight="15.75"/>
  <cols>
    <col min="1" max="1" width="4.25390625" style="0" customWidth="1"/>
    <col min="2" max="2" width="4.875" style="0" customWidth="1"/>
    <col min="3" max="3" width="28.75390625" style="0" customWidth="1"/>
    <col min="4" max="4" width="19.75390625" style="0" customWidth="1"/>
    <col min="5" max="5" width="20.125" style="0" customWidth="1"/>
    <col min="6" max="6" width="15.50390625" style="0" customWidth="1"/>
    <col min="7" max="7" width="24.25390625" style="0" customWidth="1"/>
    <col min="10" max="10" width="12.75390625" style="0" customWidth="1"/>
  </cols>
  <sheetData>
    <row r="1" spans="2:7" ht="15">
      <c r="B1" s="19"/>
      <c r="C1" s="19"/>
      <c r="D1" s="19"/>
      <c r="E1" s="19"/>
      <c r="F1" s="19"/>
      <c r="G1" s="20" t="s">
        <v>843</v>
      </c>
    </row>
    <row r="2" spans="2:10" ht="39" customHeight="1">
      <c r="B2" s="482" t="s">
        <v>137</v>
      </c>
      <c r="C2" s="482"/>
      <c r="D2" s="482"/>
      <c r="E2" s="482"/>
      <c r="F2" s="482"/>
      <c r="G2" s="482"/>
      <c r="H2" s="4"/>
      <c r="I2" s="4"/>
      <c r="J2" s="4"/>
    </row>
    <row r="3" spans="2:10" ht="26.25" customHeight="1">
      <c r="B3" s="23" t="s">
        <v>138</v>
      </c>
      <c r="C3" s="23" t="s">
        <v>163</v>
      </c>
      <c r="D3" s="23" t="s">
        <v>836</v>
      </c>
      <c r="E3" s="23" t="s">
        <v>164</v>
      </c>
      <c r="F3" s="23" t="s">
        <v>6</v>
      </c>
      <c r="G3" s="23" t="s">
        <v>165</v>
      </c>
      <c r="H3" s="5"/>
      <c r="I3" s="5"/>
      <c r="J3" s="5"/>
    </row>
    <row r="4" spans="2:10" ht="11.25" customHeight="1"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6"/>
      <c r="I4" s="6"/>
      <c r="J4" s="6"/>
    </row>
    <row r="5" spans="2:10" ht="15.75" customHeight="1">
      <c r="B5" s="24">
        <v>1</v>
      </c>
      <c r="C5" s="483" t="s">
        <v>10</v>
      </c>
      <c r="D5" s="483" t="s">
        <v>411</v>
      </c>
      <c r="E5" s="25" t="s">
        <v>11</v>
      </c>
      <c r="F5" s="110">
        <v>3196</v>
      </c>
      <c r="G5" s="69" t="s">
        <v>436</v>
      </c>
      <c r="H5" s="1"/>
      <c r="I5" s="1"/>
      <c r="J5" s="1"/>
    </row>
    <row r="6" spans="2:10" ht="15">
      <c r="B6" s="24">
        <v>2</v>
      </c>
      <c r="C6" s="484"/>
      <c r="D6" s="484"/>
      <c r="E6" s="25" t="s">
        <v>12</v>
      </c>
      <c r="F6" s="110">
        <v>4002.1</v>
      </c>
      <c r="G6" s="69" t="s">
        <v>437</v>
      </c>
      <c r="H6" s="1"/>
      <c r="I6" s="1"/>
      <c r="J6" s="1"/>
    </row>
    <row r="7" spans="2:10" ht="15">
      <c r="B7" s="24">
        <v>3</v>
      </c>
      <c r="C7" s="484"/>
      <c r="D7" s="484"/>
      <c r="E7" s="25" t="s">
        <v>13</v>
      </c>
      <c r="F7" s="110">
        <v>3512.6</v>
      </c>
      <c r="G7" s="69" t="s">
        <v>438</v>
      </c>
      <c r="H7" s="1"/>
      <c r="I7" s="1"/>
      <c r="J7" s="1"/>
    </row>
    <row r="8" spans="2:10" ht="15">
      <c r="B8" s="24">
        <v>4</v>
      </c>
      <c r="C8" s="484"/>
      <c r="D8" s="484"/>
      <c r="E8" s="25" t="s">
        <v>14</v>
      </c>
      <c r="F8" s="110">
        <v>2649.4</v>
      </c>
      <c r="G8" s="69" t="s">
        <v>439</v>
      </c>
      <c r="H8" s="1"/>
      <c r="I8" s="1"/>
      <c r="J8" s="1"/>
    </row>
    <row r="9" spans="2:10" ht="15">
      <c r="B9" s="24">
        <v>5</v>
      </c>
      <c r="C9" s="484"/>
      <c r="D9" s="484"/>
      <c r="E9" s="25" t="s">
        <v>15</v>
      </c>
      <c r="F9" s="110">
        <v>2548.8</v>
      </c>
      <c r="G9" s="69" t="s">
        <v>440</v>
      </c>
      <c r="H9" s="1"/>
      <c r="I9" s="1"/>
      <c r="J9" s="1"/>
    </row>
    <row r="10" spans="2:10" ht="15">
      <c r="B10" s="24">
        <v>6</v>
      </c>
      <c r="C10" s="484"/>
      <c r="D10" s="484"/>
      <c r="E10" s="25" t="s">
        <v>16</v>
      </c>
      <c r="F10" s="110">
        <v>2439.9</v>
      </c>
      <c r="G10" s="69" t="s">
        <v>441</v>
      </c>
      <c r="H10" s="1"/>
      <c r="I10" s="1"/>
      <c r="J10" s="1"/>
    </row>
    <row r="11" spans="2:10" ht="15">
      <c r="B11" s="24">
        <v>7</v>
      </c>
      <c r="C11" s="484"/>
      <c r="D11" s="484"/>
      <c r="E11" s="25" t="s">
        <v>17</v>
      </c>
      <c r="F11" s="110">
        <v>3986.3</v>
      </c>
      <c r="G11" s="69" t="s">
        <v>442</v>
      </c>
      <c r="H11" s="1"/>
      <c r="I11" s="1"/>
      <c r="J11" s="1"/>
    </row>
    <row r="12" spans="2:10" ht="15">
      <c r="B12" s="24">
        <v>8</v>
      </c>
      <c r="C12" s="484"/>
      <c r="D12" s="484"/>
      <c r="E12" s="25" t="s">
        <v>18</v>
      </c>
      <c r="F12" s="110">
        <v>2416</v>
      </c>
      <c r="G12" s="69" t="s">
        <v>443</v>
      </c>
      <c r="H12" s="1"/>
      <c r="I12" s="1"/>
      <c r="J12" s="1"/>
    </row>
    <row r="13" spans="2:10" ht="15">
      <c r="B13" s="24">
        <v>9</v>
      </c>
      <c r="C13" s="484"/>
      <c r="D13" s="484"/>
      <c r="E13" s="25" t="s">
        <v>19</v>
      </c>
      <c r="F13" s="110">
        <v>2431.8</v>
      </c>
      <c r="G13" s="69" t="s">
        <v>444</v>
      </c>
      <c r="H13" s="1"/>
      <c r="I13" s="1"/>
      <c r="J13" s="1"/>
    </row>
    <row r="14" spans="2:10" ht="15">
      <c r="B14" s="24">
        <v>10</v>
      </c>
      <c r="C14" s="484"/>
      <c r="D14" s="484"/>
      <c r="E14" s="25" t="s">
        <v>20</v>
      </c>
      <c r="F14" s="110">
        <v>3947.4</v>
      </c>
      <c r="G14" s="69" t="s">
        <v>448</v>
      </c>
      <c r="H14" s="1"/>
      <c r="I14" s="1"/>
      <c r="J14" s="1"/>
    </row>
    <row r="15" spans="2:10" ht="15">
      <c r="B15" s="24">
        <v>11</v>
      </c>
      <c r="C15" s="484"/>
      <c r="D15" s="484"/>
      <c r="E15" s="25" t="s">
        <v>21</v>
      </c>
      <c r="F15" s="110">
        <v>3858.6</v>
      </c>
      <c r="G15" s="69" t="s">
        <v>449</v>
      </c>
      <c r="H15" s="1"/>
      <c r="I15" s="1"/>
      <c r="J15" s="1"/>
    </row>
    <row r="16" spans="2:10" ht="15">
      <c r="B16" s="24">
        <v>12</v>
      </c>
      <c r="C16" s="484"/>
      <c r="D16" s="484"/>
      <c r="E16" s="25" t="s">
        <v>22</v>
      </c>
      <c r="F16" s="110">
        <v>2546.5</v>
      </c>
      <c r="G16" s="69" t="s">
        <v>445</v>
      </c>
      <c r="H16" s="1"/>
      <c r="I16" s="1"/>
      <c r="J16" s="1"/>
    </row>
    <row r="17" spans="2:10" ht="15">
      <c r="B17" s="24">
        <v>13</v>
      </c>
      <c r="C17" s="484"/>
      <c r="D17" s="484"/>
      <c r="E17" s="25" t="s">
        <v>23</v>
      </c>
      <c r="F17" s="110">
        <v>2394.2</v>
      </c>
      <c r="G17" s="69" t="s">
        <v>450</v>
      </c>
      <c r="H17" s="1"/>
      <c r="I17" s="1"/>
      <c r="J17" s="1"/>
    </row>
    <row r="18" spans="2:10" ht="15">
      <c r="B18" s="24">
        <v>14</v>
      </c>
      <c r="C18" s="484"/>
      <c r="D18" s="484"/>
      <c r="E18" s="25" t="s">
        <v>24</v>
      </c>
      <c r="F18" s="110">
        <v>3996.1</v>
      </c>
      <c r="G18" s="69" t="s">
        <v>446</v>
      </c>
      <c r="H18" s="1"/>
      <c r="I18" s="1"/>
      <c r="J18" s="1"/>
    </row>
    <row r="19" spans="2:10" ht="15">
      <c r="B19" s="24">
        <v>15</v>
      </c>
      <c r="C19" s="484"/>
      <c r="D19" s="484"/>
      <c r="E19" s="25" t="s">
        <v>25</v>
      </c>
      <c r="F19" s="110">
        <v>3960</v>
      </c>
      <c r="G19" s="69" t="s">
        <v>451</v>
      </c>
      <c r="H19" s="1"/>
      <c r="I19" s="1"/>
      <c r="J19" s="1"/>
    </row>
    <row r="20" spans="2:10" ht="15">
      <c r="B20" s="24">
        <v>16</v>
      </c>
      <c r="C20" s="484"/>
      <c r="D20" s="484"/>
      <c r="E20" s="25" t="s">
        <v>26</v>
      </c>
      <c r="F20" s="110">
        <v>4046.2</v>
      </c>
      <c r="G20" s="69" t="s">
        <v>447</v>
      </c>
      <c r="H20" s="1"/>
      <c r="I20" s="1"/>
      <c r="J20" s="1"/>
    </row>
    <row r="21" spans="2:10" ht="15">
      <c r="B21" s="24">
        <v>17</v>
      </c>
      <c r="C21" s="484"/>
      <c r="D21" s="484"/>
      <c r="E21" s="25" t="s">
        <v>27</v>
      </c>
      <c r="F21" s="110">
        <v>919.5</v>
      </c>
      <c r="G21" s="69" t="s">
        <v>452</v>
      </c>
      <c r="H21" s="1"/>
      <c r="I21" s="1"/>
      <c r="J21" s="1"/>
    </row>
    <row r="22" spans="2:10" ht="15">
      <c r="B22" s="24">
        <v>18</v>
      </c>
      <c r="C22" s="484"/>
      <c r="D22" s="484"/>
      <c r="E22" s="25" t="s">
        <v>28</v>
      </c>
      <c r="F22" s="110">
        <v>3971.5</v>
      </c>
      <c r="G22" s="69" t="s">
        <v>453</v>
      </c>
      <c r="H22" s="1"/>
      <c r="I22" s="1"/>
      <c r="J22" s="1"/>
    </row>
    <row r="23" spans="2:10" ht="15">
      <c r="B23" s="24">
        <v>19</v>
      </c>
      <c r="C23" s="484"/>
      <c r="D23" s="484"/>
      <c r="E23" s="25" t="s">
        <v>29</v>
      </c>
      <c r="F23" s="111">
        <v>2389.4</v>
      </c>
      <c r="G23" s="69" t="s">
        <v>454</v>
      </c>
      <c r="H23" s="1"/>
      <c r="I23" s="1"/>
      <c r="J23" s="1"/>
    </row>
    <row r="24" spans="2:7" ht="15">
      <c r="B24" s="24">
        <v>20</v>
      </c>
      <c r="C24" s="484"/>
      <c r="D24" s="484"/>
      <c r="E24" s="25" t="s">
        <v>30</v>
      </c>
      <c r="F24" s="111">
        <v>2376.2</v>
      </c>
      <c r="G24" s="69" t="s">
        <v>455</v>
      </c>
    </row>
    <row r="25" spans="2:7" ht="15">
      <c r="B25" s="24">
        <v>21</v>
      </c>
      <c r="C25" s="484"/>
      <c r="D25" s="484"/>
      <c r="E25" s="25" t="s">
        <v>31</v>
      </c>
      <c r="F25" s="111">
        <v>3970.8</v>
      </c>
      <c r="G25" s="69" t="s">
        <v>456</v>
      </c>
    </row>
    <row r="26" spans="2:7" ht="15">
      <c r="B26" s="24">
        <v>22</v>
      </c>
      <c r="C26" s="484"/>
      <c r="D26" s="484"/>
      <c r="E26" s="25" t="s">
        <v>32</v>
      </c>
      <c r="F26" s="111">
        <v>2336</v>
      </c>
      <c r="G26" s="69" t="s">
        <v>457</v>
      </c>
    </row>
    <row r="27" spans="2:7" ht="15">
      <c r="B27" s="24">
        <v>23</v>
      </c>
      <c r="C27" s="484"/>
      <c r="D27" s="484"/>
      <c r="E27" s="25" t="s">
        <v>33</v>
      </c>
      <c r="F27" s="111">
        <v>918.6</v>
      </c>
      <c r="G27" s="69" t="s">
        <v>458</v>
      </c>
    </row>
    <row r="28" spans="2:7" ht="15">
      <c r="B28" s="24">
        <v>24</v>
      </c>
      <c r="C28" s="484"/>
      <c r="D28" s="484"/>
      <c r="E28" s="25" t="s">
        <v>34</v>
      </c>
      <c r="F28" s="111">
        <v>2389.2</v>
      </c>
      <c r="G28" s="69" t="s">
        <v>459</v>
      </c>
    </row>
    <row r="29" spans="2:7" ht="15">
      <c r="B29" s="24"/>
      <c r="C29" s="484"/>
      <c r="D29" s="484"/>
      <c r="E29" s="25" t="s">
        <v>486</v>
      </c>
      <c r="F29" s="111">
        <v>753.2</v>
      </c>
      <c r="G29" s="69"/>
    </row>
    <row r="30" spans="2:7" ht="15">
      <c r="B30" s="24">
        <v>25</v>
      </c>
      <c r="C30" s="484"/>
      <c r="D30" s="484"/>
      <c r="E30" s="25" t="s">
        <v>35</v>
      </c>
      <c r="F30" s="112">
        <v>2398.7</v>
      </c>
      <c r="G30" s="69" t="s">
        <v>460</v>
      </c>
    </row>
    <row r="31" spans="2:7" ht="15">
      <c r="B31" s="24">
        <v>26</v>
      </c>
      <c r="C31" s="484"/>
      <c r="D31" s="484"/>
      <c r="E31" s="25" t="s">
        <v>36</v>
      </c>
      <c r="F31" s="112">
        <v>4003.6</v>
      </c>
      <c r="G31" s="69" t="s">
        <v>461</v>
      </c>
    </row>
    <row r="32" spans="2:7" ht="15">
      <c r="B32" s="24">
        <v>27</v>
      </c>
      <c r="C32" s="484"/>
      <c r="D32" s="484"/>
      <c r="E32" s="25" t="s">
        <v>37</v>
      </c>
      <c r="F32" s="112">
        <v>2408</v>
      </c>
      <c r="G32" s="69" t="s">
        <v>462</v>
      </c>
    </row>
    <row r="33" spans="2:7" ht="15">
      <c r="B33" s="24">
        <v>28</v>
      </c>
      <c r="C33" s="484"/>
      <c r="D33" s="484"/>
      <c r="E33" s="25" t="s">
        <v>413</v>
      </c>
      <c r="F33" s="112">
        <v>4001.1</v>
      </c>
      <c r="G33" s="69" t="s">
        <v>463</v>
      </c>
    </row>
    <row r="34" spans="2:7" ht="15">
      <c r="B34" s="24">
        <v>29</v>
      </c>
      <c r="C34" s="484"/>
      <c r="D34" s="484"/>
      <c r="E34" s="25" t="s">
        <v>414</v>
      </c>
      <c r="F34" s="112">
        <v>3217.5</v>
      </c>
      <c r="G34" s="69" t="s">
        <v>464</v>
      </c>
    </row>
    <row r="35" spans="2:7" ht="15">
      <c r="B35" s="24">
        <v>30</v>
      </c>
      <c r="C35" s="484"/>
      <c r="D35" s="484"/>
      <c r="E35" s="25" t="s">
        <v>415</v>
      </c>
      <c r="F35" s="112">
        <v>2939.5</v>
      </c>
      <c r="G35" s="69" t="s">
        <v>465</v>
      </c>
    </row>
    <row r="36" spans="2:7" ht="15">
      <c r="B36" s="24">
        <v>31</v>
      </c>
      <c r="C36" s="484"/>
      <c r="D36" s="484"/>
      <c r="E36" s="25" t="s">
        <v>416</v>
      </c>
      <c r="F36" s="112">
        <v>3983</v>
      </c>
      <c r="G36" s="69" t="s">
        <v>466</v>
      </c>
    </row>
    <row r="37" spans="2:7" ht="15">
      <c r="B37" s="24">
        <v>32</v>
      </c>
      <c r="C37" s="484"/>
      <c r="D37" s="484"/>
      <c r="E37" s="25" t="s">
        <v>417</v>
      </c>
      <c r="F37" s="112">
        <v>2410.1</v>
      </c>
      <c r="G37" s="69" t="s">
        <v>467</v>
      </c>
    </row>
    <row r="38" spans="2:7" ht="15">
      <c r="B38" s="24">
        <v>33</v>
      </c>
      <c r="C38" s="484"/>
      <c r="D38" s="484"/>
      <c r="E38" s="25" t="s">
        <v>418</v>
      </c>
      <c r="F38" s="112">
        <v>2381.9</v>
      </c>
      <c r="G38" s="69" t="s">
        <v>468</v>
      </c>
    </row>
    <row r="39" spans="2:7" ht="15">
      <c r="B39" s="24">
        <v>34</v>
      </c>
      <c r="C39" s="484"/>
      <c r="D39" s="484"/>
      <c r="E39" s="25" t="s">
        <v>419</v>
      </c>
      <c r="F39" s="112">
        <v>2407.9</v>
      </c>
      <c r="G39" s="69" t="s">
        <v>469</v>
      </c>
    </row>
    <row r="40" spans="2:7" ht="15">
      <c r="B40" s="24">
        <v>35</v>
      </c>
      <c r="C40" s="484"/>
      <c r="D40" s="484"/>
      <c r="E40" s="25" t="s">
        <v>420</v>
      </c>
      <c r="F40" s="112">
        <v>5025.1</v>
      </c>
      <c r="G40" s="69" t="s">
        <v>470</v>
      </c>
    </row>
    <row r="41" spans="2:7" ht="15">
      <c r="B41" s="24">
        <v>36</v>
      </c>
      <c r="C41" s="484"/>
      <c r="D41" s="484"/>
      <c r="E41" s="25" t="s">
        <v>421</v>
      </c>
      <c r="F41" s="112">
        <v>3710.4</v>
      </c>
      <c r="G41" s="69" t="s">
        <v>471</v>
      </c>
    </row>
    <row r="42" spans="2:7" ht="15">
      <c r="B42" s="24">
        <v>37</v>
      </c>
      <c r="C42" s="484"/>
      <c r="D42" s="484"/>
      <c r="E42" s="25" t="s">
        <v>422</v>
      </c>
      <c r="F42" s="112">
        <v>3693.4</v>
      </c>
      <c r="G42" s="69" t="s">
        <v>472</v>
      </c>
    </row>
    <row r="43" spans="2:7" ht="15">
      <c r="B43" s="24">
        <v>38</v>
      </c>
      <c r="C43" s="484"/>
      <c r="D43" s="484"/>
      <c r="E43" s="25" t="s">
        <v>423</v>
      </c>
      <c r="F43" s="112">
        <v>4679.2</v>
      </c>
      <c r="G43" s="69" t="s">
        <v>473</v>
      </c>
    </row>
    <row r="44" spans="2:7" ht="15">
      <c r="B44" s="24">
        <v>39</v>
      </c>
      <c r="C44" s="484"/>
      <c r="D44" s="484"/>
      <c r="E44" s="25" t="s">
        <v>424</v>
      </c>
      <c r="F44" s="112">
        <v>3752.8</v>
      </c>
      <c r="G44" s="69" t="s">
        <v>474</v>
      </c>
    </row>
    <row r="45" spans="2:7" ht="15">
      <c r="B45" s="24">
        <v>40</v>
      </c>
      <c r="C45" s="484"/>
      <c r="D45" s="484"/>
      <c r="E45" s="25" t="s">
        <v>425</v>
      </c>
      <c r="F45" s="112">
        <v>2799.9</v>
      </c>
      <c r="G45" s="69" t="s">
        <v>475</v>
      </c>
    </row>
    <row r="46" spans="2:7" ht="15">
      <c r="B46" s="24">
        <v>41</v>
      </c>
      <c r="C46" s="484"/>
      <c r="D46" s="484"/>
      <c r="E46" s="25" t="s">
        <v>426</v>
      </c>
      <c r="F46" s="113">
        <v>2319.3</v>
      </c>
      <c r="G46" s="69" t="s">
        <v>476</v>
      </c>
    </row>
    <row r="47" spans="2:7" ht="15">
      <c r="B47" s="24">
        <v>42</v>
      </c>
      <c r="C47" s="484"/>
      <c r="D47" s="484"/>
      <c r="E47" s="25" t="s">
        <v>427</v>
      </c>
      <c r="F47" s="113">
        <v>2277.9</v>
      </c>
      <c r="G47" s="69" t="s">
        <v>477</v>
      </c>
    </row>
    <row r="48" spans="2:7" ht="15">
      <c r="B48" s="24">
        <v>43</v>
      </c>
      <c r="C48" s="484"/>
      <c r="D48" s="484"/>
      <c r="E48" s="25" t="s">
        <v>428</v>
      </c>
      <c r="F48" s="113">
        <v>2311.8</v>
      </c>
      <c r="G48" s="69" t="s">
        <v>478</v>
      </c>
    </row>
    <row r="49" spans="2:7" ht="15">
      <c r="B49" s="24">
        <v>44</v>
      </c>
      <c r="C49" s="484"/>
      <c r="D49" s="484"/>
      <c r="E49" s="25" t="s">
        <v>429</v>
      </c>
      <c r="F49" s="113">
        <v>3420.3</v>
      </c>
      <c r="G49" s="69" t="s">
        <v>479</v>
      </c>
    </row>
    <row r="50" spans="2:7" ht="15">
      <c r="B50" s="24">
        <v>45</v>
      </c>
      <c r="C50" s="484"/>
      <c r="D50" s="484"/>
      <c r="E50" s="25" t="s">
        <v>430</v>
      </c>
      <c r="F50" s="113">
        <v>1720.8</v>
      </c>
      <c r="G50" s="69" t="s">
        <v>480</v>
      </c>
    </row>
    <row r="51" spans="2:7" ht="15">
      <c r="B51" s="24">
        <v>46</v>
      </c>
      <c r="C51" s="484"/>
      <c r="D51" s="484"/>
      <c r="E51" s="25" t="s">
        <v>431</v>
      </c>
      <c r="F51" s="113">
        <v>1708.9</v>
      </c>
      <c r="G51" s="69" t="s">
        <v>481</v>
      </c>
    </row>
    <row r="52" spans="2:7" ht="15">
      <c r="B52" s="24">
        <v>47</v>
      </c>
      <c r="C52" s="484"/>
      <c r="D52" s="484"/>
      <c r="E52" s="25" t="s">
        <v>432</v>
      </c>
      <c r="F52" s="113">
        <v>3421.4</v>
      </c>
      <c r="G52" s="69" t="s">
        <v>482</v>
      </c>
    </row>
    <row r="53" spans="2:7" ht="15">
      <c r="B53" s="24"/>
      <c r="C53" s="484"/>
      <c r="D53" s="484"/>
      <c r="E53" s="25" t="s">
        <v>486</v>
      </c>
      <c r="F53" s="113">
        <v>697.4</v>
      </c>
      <c r="G53" s="69"/>
    </row>
    <row r="54" spans="2:7" ht="15">
      <c r="B54" s="24">
        <v>48</v>
      </c>
      <c r="C54" s="484"/>
      <c r="D54" s="484"/>
      <c r="E54" s="25" t="s">
        <v>433</v>
      </c>
      <c r="F54" s="113">
        <v>3502.7</v>
      </c>
      <c r="G54" s="69" t="s">
        <v>483</v>
      </c>
    </row>
    <row r="55" spans="2:7" ht="15">
      <c r="B55" s="24">
        <v>49</v>
      </c>
      <c r="C55" s="484"/>
      <c r="D55" s="484"/>
      <c r="E55" s="25" t="s">
        <v>434</v>
      </c>
      <c r="F55" s="113">
        <v>3460.1</v>
      </c>
      <c r="G55" s="69" t="s">
        <v>484</v>
      </c>
    </row>
    <row r="56" spans="2:7" ht="15">
      <c r="B56" s="24"/>
      <c r="C56" s="484"/>
      <c r="D56" s="484"/>
      <c r="E56" s="25" t="s">
        <v>486</v>
      </c>
      <c r="F56" s="113">
        <v>1695.7</v>
      </c>
      <c r="G56" s="69"/>
    </row>
    <row r="57" spans="2:7" ht="15">
      <c r="B57" s="24">
        <v>50</v>
      </c>
      <c r="C57" s="484"/>
      <c r="D57" s="484"/>
      <c r="E57" s="25" t="s">
        <v>435</v>
      </c>
      <c r="F57" s="113">
        <v>3523.5</v>
      </c>
      <c r="G57" s="69" t="s">
        <v>485</v>
      </c>
    </row>
    <row r="58" spans="2:7" ht="15">
      <c r="B58" s="27"/>
      <c r="C58" s="485"/>
      <c r="D58" s="485"/>
      <c r="E58" s="25" t="s">
        <v>486</v>
      </c>
      <c r="F58" s="112">
        <v>694.6</v>
      </c>
      <c r="G58" s="27"/>
    </row>
    <row r="59" spans="2:7" ht="15">
      <c r="B59" s="27"/>
      <c r="C59" s="27"/>
      <c r="D59" s="27"/>
      <c r="E59" s="27" t="s">
        <v>692</v>
      </c>
      <c r="F59" s="67">
        <f>SUM(F5:F58)-F29-F53-F56-F58</f>
        <v>152681.89999999994</v>
      </c>
      <c r="G59" s="27"/>
    </row>
  </sheetData>
  <sheetProtection/>
  <mergeCells count="3">
    <mergeCell ref="B2:G2"/>
    <mergeCell ref="C5:C58"/>
    <mergeCell ref="D5:D58"/>
  </mergeCells>
  <printOptions/>
  <pageMargins left="1.1023622047244095" right="0.5118110236220472" top="0.5511811023622047" bottom="0.35433070866141736" header="0.31496062992125984" footer="0.31496062992125984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zoomScale="75" zoomScaleNormal="75" zoomScalePageLayoutView="0" workbookViewId="0" topLeftCell="H4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491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7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492</v>
      </c>
      <c r="H6" s="640">
        <v>0.272</v>
      </c>
      <c r="I6" s="638" t="s">
        <v>49</v>
      </c>
      <c r="J6" s="72">
        <v>3.5</v>
      </c>
      <c r="K6" s="69"/>
      <c r="L6" s="24">
        <v>3.51</v>
      </c>
      <c r="M6" s="69"/>
      <c r="N6" s="641" t="s">
        <v>513</v>
      </c>
      <c r="O6" s="69"/>
      <c r="P6" s="70"/>
      <c r="Q6" s="70"/>
    </row>
    <row r="7" spans="2:17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  <c r="P7" s="70"/>
      <c r="Q7" s="70"/>
    </row>
    <row r="8" spans="2:17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  <c r="P8" s="70"/>
      <c r="Q8" s="70"/>
    </row>
    <row r="9" spans="2:17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  <c r="P9" s="70"/>
      <c r="Q9" s="70"/>
    </row>
    <row r="10" spans="2:17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ROUND(J10*2064/450,2)</f>
        <v>8.94</v>
      </c>
      <c r="L10" s="68">
        <v>2.42</v>
      </c>
      <c r="M10" s="68">
        <f>ROUND(L10*2064/450,2)</f>
        <v>11.1</v>
      </c>
      <c r="N10" s="641"/>
      <c r="O10" s="68">
        <f>(J10+L10)/2*2064*2</f>
        <v>9019.68</v>
      </c>
      <c r="P10" s="70"/>
      <c r="Q10" s="71"/>
    </row>
    <row r="11" spans="2:17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ROUND(J11*2064/354,2)</f>
        <v>7.29</v>
      </c>
      <c r="L11" s="68">
        <f>0.06+0.27+0.37+0.02+0.04+0.03+0.04+0.44</f>
        <v>1.27</v>
      </c>
      <c r="M11" s="68">
        <f>ROUND(L11*2064/354,2)</f>
        <v>7.4</v>
      </c>
      <c r="N11" s="641"/>
      <c r="O11" s="24"/>
      <c r="P11" s="70"/>
      <c r="Q11" s="71"/>
    </row>
    <row r="12" spans="2:17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ROUND(J12*2064/240,2)</f>
        <v>7.83</v>
      </c>
      <c r="L12" s="68">
        <f>0.08+0.24+0.47+0.03+0.04+0.02+0.06</f>
        <v>0.9400000000000002</v>
      </c>
      <c r="M12" s="68">
        <f>ROUND(L12*2064/240,2)</f>
        <v>8.08</v>
      </c>
      <c r="N12" s="641"/>
      <c r="O12" s="24"/>
      <c r="P12" s="70"/>
      <c r="Q12" s="71"/>
    </row>
    <row r="13" spans="2:17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ROUND(J13*2064/1008,2)</f>
        <v>5.61</v>
      </c>
      <c r="L13" s="68">
        <f>0.37+0.11+0.03+0.13+0.03+0.4+0.05+0.16+1.08+0.21+0.7</f>
        <v>3.2700000000000005</v>
      </c>
      <c r="M13" s="68">
        <f>ROUND(L13*2064/1008,2)</f>
        <v>6.7</v>
      </c>
      <c r="N13" s="641"/>
      <c r="O13" s="68">
        <f>(J13+L13)/2*2064</f>
        <v>6202.32</v>
      </c>
      <c r="P13" s="70"/>
      <c r="Q13" s="71"/>
    </row>
    <row r="14" spans="2:17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  <c r="P14" s="70"/>
      <c r="Q14" s="70"/>
    </row>
    <row r="15" spans="2:17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  <c r="P15" s="70"/>
      <c r="Q15" s="70"/>
    </row>
    <row r="16" spans="2:17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  <c r="P16" s="70"/>
      <c r="Q16" s="70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zoomScale="75" zoomScaleNormal="75" zoomScalePageLayoutView="0" workbookViewId="0" topLeftCell="H7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50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8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179</v>
      </c>
      <c r="H6" s="640">
        <v>0.264</v>
      </c>
      <c r="I6" s="638" t="s">
        <v>49</v>
      </c>
      <c r="J6" s="72">
        <v>3.5</v>
      </c>
      <c r="K6" s="69"/>
      <c r="L6" s="24">
        <v>3.51</v>
      </c>
      <c r="M6" s="69"/>
      <c r="N6" s="641" t="s">
        <v>513</v>
      </c>
      <c r="O6" s="69"/>
      <c r="P6" s="70"/>
      <c r="Q6" s="70"/>
      <c r="R6" s="70"/>
    </row>
    <row r="7" spans="2:18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  <c r="P7" s="70"/>
      <c r="Q7" s="70"/>
      <c r="R7" s="70"/>
    </row>
    <row r="8" spans="2:18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  <c r="P8" s="70"/>
      <c r="Q8" s="70"/>
      <c r="R8" s="70"/>
    </row>
    <row r="9" spans="2:18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  <c r="P9" s="70"/>
      <c r="Q9" s="70"/>
      <c r="R9" s="70"/>
    </row>
    <row r="10" spans="2:18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ROUND(J10*2082.1/450,2)</f>
        <v>9.02</v>
      </c>
      <c r="L10" s="68">
        <v>2.42</v>
      </c>
      <c r="M10" s="68">
        <f>ROUND(L10*2082.1/450,2)</f>
        <v>11.2</v>
      </c>
      <c r="N10" s="641"/>
      <c r="O10" s="68">
        <f>(J10+L10)/2*2082.1*2</f>
        <v>9098.777</v>
      </c>
      <c r="P10" s="70"/>
      <c r="Q10" s="71"/>
      <c r="R10" s="70"/>
    </row>
    <row r="11" spans="2:18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ROUND(J11*2082.1/354,2)</f>
        <v>7.35</v>
      </c>
      <c r="L11" s="68">
        <f>0.06+0.27+0.37+0.02+0.04+0.03+0.04+0.44</f>
        <v>1.27</v>
      </c>
      <c r="M11" s="68">
        <f>ROUND(L11*2082.1/354,2)</f>
        <v>7.47</v>
      </c>
      <c r="N11" s="641"/>
      <c r="O11" s="24"/>
      <c r="P11" s="70"/>
      <c r="Q11" s="71"/>
      <c r="R11" s="70"/>
    </row>
    <row r="12" spans="2:18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ROUND(J12*2082.1/240,2)</f>
        <v>7.89</v>
      </c>
      <c r="L12" s="68">
        <f>0.08+0.24+0.47+0.03+0.04+0.02+0.06</f>
        <v>0.9400000000000002</v>
      </c>
      <c r="M12" s="68">
        <f>ROUND(L12*2082.1/240,2)</f>
        <v>8.15</v>
      </c>
      <c r="N12" s="641"/>
      <c r="O12" s="24"/>
      <c r="P12" s="70"/>
      <c r="Q12" s="71"/>
      <c r="R12" s="70"/>
    </row>
    <row r="13" spans="2:18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ROUND(J13*2082.1/1008,2)</f>
        <v>5.66</v>
      </c>
      <c r="L13" s="68">
        <f>0.37+0.11+0.03+0.13+0.03+0.4+0.05+0.16+1.08+0.21+0.7</f>
        <v>3.2700000000000005</v>
      </c>
      <c r="M13" s="68">
        <f>ROUND(L13*2082.1/1008,2)</f>
        <v>6.75</v>
      </c>
      <c r="N13" s="641"/>
      <c r="O13" s="68">
        <f>(J13+L13)/2*2082.1</f>
        <v>6256.710499999999</v>
      </c>
      <c r="P13" s="70"/>
      <c r="Q13" s="71"/>
      <c r="R13" s="70"/>
    </row>
    <row r="14" spans="2:18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  <c r="P14" s="70"/>
      <c r="Q14" s="70"/>
      <c r="R14" s="70"/>
    </row>
    <row r="15" spans="2:18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  <c r="P15" s="70"/>
      <c r="Q15" s="70"/>
      <c r="R15" s="70"/>
    </row>
    <row r="16" spans="2:18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  <c r="P16" s="70"/>
      <c r="Q16" s="70"/>
      <c r="R16" s="70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zoomScale="75" zoomScaleNormal="75" zoomScalePageLayoutView="0" workbookViewId="0" topLeftCell="F6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180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8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182</v>
      </c>
      <c r="H6" s="640">
        <v>0.272</v>
      </c>
      <c r="I6" s="638" t="s">
        <v>49</v>
      </c>
      <c r="J6" s="72">
        <v>3.5</v>
      </c>
      <c r="K6" s="69"/>
      <c r="L6" s="24">
        <v>3.51</v>
      </c>
      <c r="M6" s="69"/>
      <c r="N6" s="641" t="s">
        <v>513</v>
      </c>
      <c r="O6" s="69"/>
      <c r="P6" s="70"/>
      <c r="Q6" s="70"/>
      <c r="R6" s="70"/>
    </row>
    <row r="7" spans="2:18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  <c r="P7" s="70"/>
      <c r="Q7" s="70"/>
      <c r="R7" s="70"/>
    </row>
    <row r="8" spans="2:18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  <c r="P8" s="70"/>
      <c r="Q8" s="70"/>
      <c r="R8" s="70"/>
    </row>
    <row r="9" spans="2:18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  <c r="P9" s="70"/>
      <c r="Q9" s="70"/>
      <c r="R9" s="70"/>
    </row>
    <row r="10" spans="2:18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ROUND(J10*2195.7/450,2)</f>
        <v>9.51</v>
      </c>
      <c r="L10" s="68">
        <v>2.42</v>
      </c>
      <c r="M10" s="68">
        <f>ROUND(L10*2195.7/450,2)</f>
        <v>11.81</v>
      </c>
      <c r="N10" s="641"/>
      <c r="O10" s="68">
        <f>(J10+L10)/2*2195.7*2</f>
        <v>9595.208999999999</v>
      </c>
      <c r="P10" s="70"/>
      <c r="Q10" s="71"/>
      <c r="R10" s="70"/>
    </row>
    <row r="11" spans="2:18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ROUND(J11*2195.7/354,2)</f>
        <v>7.75</v>
      </c>
      <c r="L11" s="68">
        <f>0.06+0.27+0.37+0.02+0.04+0.03+0.04+0.44</f>
        <v>1.27</v>
      </c>
      <c r="M11" s="68">
        <f>ROUND(L11*2195.7/354,2)</f>
        <v>7.88</v>
      </c>
      <c r="N11" s="641"/>
      <c r="O11" s="24"/>
      <c r="P11" s="70"/>
      <c r="Q11" s="71"/>
      <c r="R11" s="70"/>
    </row>
    <row r="12" spans="2:18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ROUND(J12*2195.7/240,2)</f>
        <v>8.33</v>
      </c>
      <c r="L12" s="68">
        <f>0.08+0.24+0.47+0.03+0.04+0.02+0.06</f>
        <v>0.9400000000000002</v>
      </c>
      <c r="M12" s="68">
        <f>ROUND(L12*2195.7/240,2)</f>
        <v>8.6</v>
      </c>
      <c r="N12" s="641"/>
      <c r="O12" s="24"/>
      <c r="P12" s="70"/>
      <c r="Q12" s="71"/>
      <c r="R12" s="70"/>
    </row>
    <row r="13" spans="2:18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ROUND(J13*2195.7/1018,2)</f>
        <v>5.91</v>
      </c>
      <c r="L13" s="68">
        <f>0.37+0.11+0.03+0.13+0.03+0.4+0.05+0.16+1.08+0.21+0.7</f>
        <v>3.2700000000000005</v>
      </c>
      <c r="M13" s="68">
        <f>ROUND(L13*2195.7/1018,2)</f>
        <v>7.05</v>
      </c>
      <c r="N13" s="641"/>
      <c r="O13" s="68">
        <f>(J13+L13)/2*2195.7</f>
        <v>6598.0785</v>
      </c>
      <c r="P13" s="70"/>
      <c r="Q13" s="71"/>
      <c r="R13" s="70"/>
    </row>
    <row r="14" spans="2:18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  <c r="P14" s="70"/>
      <c r="Q14" s="70"/>
      <c r="R14" s="70"/>
    </row>
    <row r="15" spans="2:18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  <c r="P15" s="70"/>
      <c r="Q15" s="70"/>
      <c r="R15" s="70"/>
    </row>
    <row r="16" spans="2:18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  <c r="P16" s="70"/>
      <c r="Q16" s="70"/>
      <c r="R16" s="70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zoomScale="75" zoomScaleNormal="75" zoomScalePageLayoutView="0" workbookViewId="0" topLeftCell="H7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183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8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202</v>
      </c>
      <c r="H6" s="640">
        <v>0.264</v>
      </c>
      <c r="I6" s="638" t="s">
        <v>203</v>
      </c>
      <c r="J6" s="72">
        <v>3.5</v>
      </c>
      <c r="K6" s="69"/>
      <c r="L6" s="24">
        <v>3.51</v>
      </c>
      <c r="M6" s="69"/>
      <c r="N6" s="641" t="s">
        <v>513</v>
      </c>
      <c r="O6" s="69"/>
      <c r="P6" s="70"/>
      <c r="Q6" s="70"/>
      <c r="R6" s="70"/>
    </row>
    <row r="7" spans="2:18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  <c r="P7" s="70"/>
      <c r="Q7" s="70"/>
      <c r="R7" s="70"/>
    </row>
    <row r="8" spans="2:18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  <c r="P8" s="70"/>
      <c r="Q8" s="70"/>
      <c r="R8" s="70"/>
    </row>
    <row r="9" spans="2:18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  <c r="P9" s="70"/>
      <c r="Q9" s="70"/>
      <c r="R9" s="70"/>
    </row>
    <row r="10" spans="2:18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ROUND(J10*3465.7/750,2)</f>
        <v>9.01</v>
      </c>
      <c r="L10" s="68">
        <v>2.42</v>
      </c>
      <c r="M10" s="68">
        <f>ROUND(L10*3465.7/750,2)</f>
        <v>11.18</v>
      </c>
      <c r="N10" s="641"/>
      <c r="O10" s="68">
        <f>(J10+L10)/2*3465.7*2</f>
        <v>15145.109</v>
      </c>
      <c r="P10" s="70"/>
      <c r="Q10" s="71"/>
      <c r="R10" s="70"/>
    </row>
    <row r="11" spans="2:18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ROUND(J11*3465.7/640,2)</f>
        <v>6.77</v>
      </c>
      <c r="L11" s="68">
        <f>0.06+0.27+0.37+0.02+0.04+0.03+0.04+0.44</f>
        <v>1.27</v>
      </c>
      <c r="M11" s="68">
        <f>ROUND(L11*3465.7/640,2)</f>
        <v>6.88</v>
      </c>
      <c r="N11" s="641"/>
      <c r="O11" s="24"/>
      <c r="P11" s="70"/>
      <c r="Q11" s="71"/>
      <c r="R11" s="70"/>
    </row>
    <row r="12" spans="2:18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ROUND(J12*3465.7/400,2)</f>
        <v>7.88</v>
      </c>
      <c r="L12" s="68">
        <f>0.08+0.24+0.47+0.03+0.04+0.02+0.06</f>
        <v>0.9400000000000002</v>
      </c>
      <c r="M12" s="68">
        <f>ROUND(L12*3465.7/400,2)</f>
        <v>8.14</v>
      </c>
      <c r="N12" s="641"/>
      <c r="O12" s="24"/>
      <c r="P12" s="70"/>
      <c r="Q12" s="71"/>
      <c r="R12" s="70"/>
    </row>
    <row r="13" spans="2:18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ROUND(J13*3465.7/1680,2)</f>
        <v>5.65</v>
      </c>
      <c r="L13" s="68">
        <f>0.37+0.11+0.03+0.13+0.03+0.4+0.05+0.16+1.08+0.21+0.7</f>
        <v>3.2700000000000005</v>
      </c>
      <c r="M13" s="68">
        <f>ROUND(L13*3465.7/1680,2)</f>
        <v>6.75</v>
      </c>
      <c r="N13" s="641"/>
      <c r="O13" s="68">
        <f>(J13+L13)/2*3465.7</f>
        <v>10414.4285</v>
      </c>
      <c r="P13" s="70"/>
      <c r="Q13" s="71"/>
      <c r="R13" s="70"/>
    </row>
    <row r="14" spans="2:18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  <c r="P14" s="70"/>
      <c r="Q14" s="70"/>
      <c r="R14" s="70"/>
    </row>
    <row r="15" spans="2:18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  <c r="P15" s="70"/>
      <c r="Q15" s="70"/>
      <c r="R15" s="70"/>
    </row>
    <row r="16" spans="2:18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  <c r="P16" s="70"/>
      <c r="Q16" s="70"/>
      <c r="R16" s="70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zoomScale="75" zoomScaleNormal="75" zoomScalePageLayoutView="0" workbookViewId="0" topLeftCell="F3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204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8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210</v>
      </c>
      <c r="H6" s="640">
        <v>0.264</v>
      </c>
      <c r="I6" s="638" t="s">
        <v>203</v>
      </c>
      <c r="J6" s="72">
        <v>3.5</v>
      </c>
      <c r="K6" s="69"/>
      <c r="L6" s="24">
        <v>3.51</v>
      </c>
      <c r="M6" s="69"/>
      <c r="N6" s="641" t="s">
        <v>513</v>
      </c>
      <c r="O6" s="69"/>
      <c r="P6" s="70"/>
      <c r="Q6" s="70"/>
      <c r="R6" s="70"/>
    </row>
    <row r="7" spans="2:18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  <c r="P7" s="70"/>
      <c r="Q7" s="70"/>
      <c r="R7" s="70"/>
    </row>
    <row r="8" spans="2:18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  <c r="P8" s="70"/>
      <c r="Q8" s="70"/>
      <c r="R8" s="70"/>
    </row>
    <row r="9" spans="2:18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  <c r="P9" s="70"/>
      <c r="Q9" s="70"/>
      <c r="R9" s="70"/>
    </row>
    <row r="10" spans="2:18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ROUND(J10*3485.7/750,2)</f>
        <v>9.06</v>
      </c>
      <c r="L10" s="68">
        <v>2.42</v>
      </c>
      <c r="M10" s="68">
        <f>ROUND(L10*3485.7/750,2)</f>
        <v>11.25</v>
      </c>
      <c r="N10" s="641"/>
      <c r="O10" s="68">
        <f>(J10+L10)/2*3485.7*2</f>
        <v>15232.509</v>
      </c>
      <c r="P10" s="70"/>
      <c r="Q10" s="71"/>
      <c r="R10" s="70"/>
    </row>
    <row r="11" spans="2:18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ROUND(J11*3485.7/670,2)</f>
        <v>6.5</v>
      </c>
      <c r="L11" s="68">
        <f>0.06+0.27+0.37+0.02+0.04+0.03+0.04+0.44</f>
        <v>1.27</v>
      </c>
      <c r="M11" s="68">
        <f>ROUND(L11*3485.7/670,2)</f>
        <v>6.61</v>
      </c>
      <c r="N11" s="641"/>
      <c r="O11" s="24"/>
      <c r="P11" s="70"/>
      <c r="Q11" s="71"/>
      <c r="R11" s="70"/>
    </row>
    <row r="12" spans="2:18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ROUND(J12*3485.7/400,2)</f>
        <v>7.93</v>
      </c>
      <c r="L12" s="68">
        <f>0.08+0.24+0.47+0.03+0.04+0.02+0.06</f>
        <v>0.9400000000000002</v>
      </c>
      <c r="M12" s="68">
        <f>ROUND(L12*3485.7/400,2)</f>
        <v>8.19</v>
      </c>
      <c r="N12" s="641"/>
      <c r="O12" s="24"/>
      <c r="P12" s="70"/>
      <c r="Q12" s="71"/>
      <c r="R12" s="70"/>
    </row>
    <row r="13" spans="2:18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ROUND(J13*3485.7/1680,2)</f>
        <v>5.69</v>
      </c>
      <c r="L13" s="68">
        <f>0.37+0.11+0.03+0.13+0.03+0.4+0.05+0.16+1.08+0.21+0.7</f>
        <v>3.2700000000000005</v>
      </c>
      <c r="M13" s="68">
        <f>ROUND(L13*3485.7/1680,2)</f>
        <v>6.78</v>
      </c>
      <c r="N13" s="641"/>
      <c r="O13" s="68">
        <f>(J13+L13)/2*3485.7</f>
        <v>10474.528499999999</v>
      </c>
      <c r="P13" s="70"/>
      <c r="Q13" s="71"/>
      <c r="R13" s="70"/>
    </row>
    <row r="14" spans="2:18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  <c r="P14" s="70"/>
      <c r="Q14" s="70"/>
      <c r="R14" s="70"/>
    </row>
    <row r="15" spans="2:18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  <c r="P15" s="70"/>
      <c r="Q15" s="70"/>
      <c r="R15" s="70"/>
    </row>
    <row r="16" spans="2:18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  <c r="P16" s="70"/>
      <c r="Q16" s="70"/>
      <c r="R16" s="70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zoomScale="75" zoomScaleNormal="75" zoomScalePageLayoutView="0" workbookViewId="0" topLeftCell="G4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206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6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205</v>
      </c>
      <c r="H6" s="640">
        <v>0.427</v>
      </c>
      <c r="I6" s="638" t="s">
        <v>53</v>
      </c>
      <c r="J6" s="72">
        <v>3.5</v>
      </c>
      <c r="K6" s="69"/>
      <c r="L6" s="24">
        <v>3.51</v>
      </c>
      <c r="M6" s="69"/>
      <c r="N6" s="641" t="s">
        <v>513</v>
      </c>
      <c r="O6" s="69"/>
      <c r="P6" s="70"/>
    </row>
    <row r="7" spans="2:16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  <c r="P7" s="70"/>
    </row>
    <row r="8" spans="2:16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  <c r="P8" s="70"/>
    </row>
    <row r="9" spans="2:16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  <c r="P9" s="70"/>
    </row>
    <row r="10" spans="2:17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ROUND(J10*2078.6/197,2)</f>
        <v>20.57</v>
      </c>
      <c r="L10" s="68">
        <v>2.42</v>
      </c>
      <c r="M10" s="68">
        <f>ROUND(L10*2078.6/197,2)</f>
        <v>25.53</v>
      </c>
      <c r="N10" s="641"/>
      <c r="O10" s="68">
        <f>(J10+L10)/2*2078.6*2</f>
        <v>9083.482</v>
      </c>
      <c r="P10" s="70"/>
      <c r="Q10" s="61"/>
    </row>
    <row r="11" spans="2:17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ROUND(J11*2078.6/435,2)</f>
        <v>5.97</v>
      </c>
      <c r="L11" s="68">
        <f>0.06+0.27+0.37+0.02+0.04+0.03+0.04+0.44</f>
        <v>1.27</v>
      </c>
      <c r="M11" s="68">
        <f>ROUND(L11*2078.6/435,2)</f>
        <v>6.07</v>
      </c>
      <c r="N11" s="641"/>
      <c r="O11" s="24"/>
      <c r="P11" s="70"/>
      <c r="Q11" s="61"/>
    </row>
    <row r="12" spans="2:17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ROUND(J12*2078.6/1020,2)</f>
        <v>1.85</v>
      </c>
      <c r="L12" s="68">
        <f>0.08+0.24+0.47+0.03+0.04+0.02+0.06</f>
        <v>0.9400000000000002</v>
      </c>
      <c r="M12" s="68">
        <f>ROUND(L12*2078.6/1020,2)</f>
        <v>1.92</v>
      </c>
      <c r="N12" s="641"/>
      <c r="O12" s="24"/>
      <c r="P12" s="70"/>
      <c r="Q12" s="61"/>
    </row>
    <row r="13" spans="2:17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ROUND(J13*2078.6/795,2)</f>
        <v>7.16</v>
      </c>
      <c r="L13" s="68">
        <f>0.37+0.11+0.03+0.13+0.03+0.4+0.05+0.16+1.08+0.21+0.7</f>
        <v>3.2700000000000005</v>
      </c>
      <c r="M13" s="68">
        <f>ROUND(L13*2078.6/795,2)</f>
        <v>8.55</v>
      </c>
      <c r="N13" s="641"/>
      <c r="O13" s="68">
        <f>(J13+L13)/2*2078.6</f>
        <v>6246.192999999999</v>
      </c>
      <c r="P13" s="70"/>
      <c r="Q13" s="61"/>
    </row>
    <row r="14" spans="2:16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  <c r="P14" s="70"/>
    </row>
    <row r="15" spans="2:16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  <c r="P15" s="70"/>
    </row>
    <row r="16" spans="2:16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  <c r="P16" s="70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zoomScale="75" zoomScaleNormal="75" zoomScalePageLayoutView="0" workbookViewId="0" topLeftCell="F3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207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8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189</v>
      </c>
      <c r="H6" s="640">
        <v>0.436</v>
      </c>
      <c r="I6" s="638" t="s">
        <v>47</v>
      </c>
      <c r="J6" s="72">
        <v>3.5</v>
      </c>
      <c r="K6" s="69"/>
      <c r="L6" s="24">
        <v>3.51</v>
      </c>
      <c r="M6" s="69"/>
      <c r="N6" s="641" t="s">
        <v>513</v>
      </c>
      <c r="O6" s="69"/>
      <c r="P6" s="70"/>
      <c r="Q6" s="70"/>
      <c r="R6" s="70"/>
    </row>
    <row r="7" spans="2:18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  <c r="P7" s="70"/>
      <c r="Q7" s="70"/>
      <c r="R7" s="70"/>
    </row>
    <row r="8" spans="2:18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  <c r="P8" s="70"/>
      <c r="Q8" s="70"/>
      <c r="R8" s="70"/>
    </row>
    <row r="9" spans="2:18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  <c r="P9" s="70"/>
      <c r="Q9" s="70"/>
      <c r="R9" s="70"/>
    </row>
    <row r="10" spans="2:18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ROUND(J10*2037.7/197,2)</f>
        <v>20.17</v>
      </c>
      <c r="L10" s="68">
        <v>2.42</v>
      </c>
      <c r="M10" s="68">
        <f>ROUND(L10*2037.7/197,2)</f>
        <v>25.03</v>
      </c>
      <c r="N10" s="641"/>
      <c r="O10" s="68">
        <f>(J10+L10)/2*2037.7*2</f>
        <v>8904.749</v>
      </c>
      <c r="P10" s="70"/>
      <c r="Q10" s="71"/>
      <c r="R10" s="70"/>
    </row>
    <row r="11" spans="2:18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ROUND(J11*2037.7/435,2)</f>
        <v>5.86</v>
      </c>
      <c r="L11" s="68">
        <f>0.06+0.27+0.37+0.02+0.04+0.03+0.04+0.44</f>
        <v>1.27</v>
      </c>
      <c r="M11" s="68">
        <f>ROUND(L11*2037.7/435,2)</f>
        <v>5.95</v>
      </c>
      <c r="N11" s="641"/>
      <c r="O11" s="24"/>
      <c r="P11" s="70"/>
      <c r="Q11" s="71"/>
      <c r="R11" s="70"/>
    </row>
    <row r="12" spans="2:18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ROUND(J12*2037.7/102,2)</f>
        <v>18.18</v>
      </c>
      <c r="L12" s="68">
        <f>0.08+0.24+0.47+0.03+0.04+0.02+0.06</f>
        <v>0.9400000000000002</v>
      </c>
      <c r="M12" s="68">
        <f>ROUND(L12*2037.7/102,2)</f>
        <v>18.78</v>
      </c>
      <c r="N12" s="641"/>
      <c r="O12" s="24"/>
      <c r="P12" s="70"/>
      <c r="Q12" s="71"/>
      <c r="R12" s="70"/>
    </row>
    <row r="13" spans="2:18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ROUND(J13*2037.7/795,2)</f>
        <v>7.02</v>
      </c>
      <c r="L13" s="68">
        <f>0.37+0.11+0.03+0.13+0.03+0.4+0.05+0.16+1.08+0.21+0.7</f>
        <v>3.2700000000000005</v>
      </c>
      <c r="M13" s="68">
        <f>ROUND(L13*2037.7/795,2)</f>
        <v>8.38</v>
      </c>
      <c r="N13" s="641"/>
      <c r="O13" s="68">
        <f>(J13+L13)/2*2037.7</f>
        <v>6123.2885</v>
      </c>
      <c r="P13" s="70"/>
      <c r="Q13" s="71"/>
      <c r="R13" s="70"/>
    </row>
    <row r="14" spans="2:18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  <c r="P14" s="70"/>
      <c r="Q14" s="70"/>
      <c r="R14" s="70"/>
    </row>
    <row r="15" spans="2:18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  <c r="P15" s="70"/>
      <c r="Q15" s="70"/>
      <c r="R15" s="70"/>
    </row>
    <row r="16" spans="2:18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  <c r="P16" s="70"/>
      <c r="Q16" s="70"/>
      <c r="R16" s="70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zoomScale="75" zoomScaleNormal="75" zoomScalePageLayoutView="0" workbookViewId="0" topLeftCell="F4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190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8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52</v>
      </c>
      <c r="H6" s="640">
        <v>0.436</v>
      </c>
      <c r="I6" s="638" t="s">
        <v>195</v>
      </c>
      <c r="J6" s="72">
        <v>3.5</v>
      </c>
      <c r="K6" s="69"/>
      <c r="L6" s="24">
        <v>3.51</v>
      </c>
      <c r="M6" s="69"/>
      <c r="N6" s="641" t="s">
        <v>513</v>
      </c>
      <c r="O6" s="69"/>
      <c r="P6" s="70"/>
      <c r="Q6" s="70"/>
      <c r="R6" s="70"/>
    </row>
    <row r="7" spans="2:18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  <c r="P7" s="70"/>
      <c r="Q7" s="70"/>
      <c r="R7" s="70"/>
    </row>
    <row r="8" spans="2:18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  <c r="P8" s="70"/>
      <c r="Q8" s="70"/>
      <c r="R8" s="70"/>
    </row>
    <row r="9" spans="2:18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  <c r="P9" s="70"/>
      <c r="Q9" s="70"/>
      <c r="R9" s="70"/>
    </row>
    <row r="10" spans="2:18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ROUND(J10*2072.5/197,2)</f>
        <v>20.51</v>
      </c>
      <c r="L10" s="68">
        <v>2.42</v>
      </c>
      <c r="M10" s="68">
        <f>ROUND(L10*2072.5/197,2)</f>
        <v>25.46</v>
      </c>
      <c r="N10" s="641"/>
      <c r="O10" s="68">
        <f>(J10+L10)/2*2072.5*2</f>
        <v>9056.825</v>
      </c>
      <c r="P10" s="70"/>
      <c r="Q10" s="71"/>
      <c r="R10" s="70"/>
    </row>
    <row r="11" spans="2:18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ROUND(J11*2072.5/435,2)</f>
        <v>5.96</v>
      </c>
      <c r="L11" s="68">
        <f>0.06+0.27+0.37+0.02+0.04+0.03+0.04+0.44</f>
        <v>1.27</v>
      </c>
      <c r="M11" s="68">
        <f>ROUND(L11*2072.5/435,2)</f>
        <v>6.05</v>
      </c>
      <c r="N11" s="641"/>
      <c r="O11" s="24"/>
      <c r="P11" s="70"/>
      <c r="Q11" s="71"/>
      <c r="R11" s="70"/>
    </row>
    <row r="12" spans="2:18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ROUND(J12*2072.5/102,2)</f>
        <v>18.49</v>
      </c>
      <c r="L12" s="68">
        <f>0.08+0.24+0.47+0.03+0.04+0.02+0.06</f>
        <v>0.9400000000000002</v>
      </c>
      <c r="M12" s="68">
        <f>ROUND(L12*2072.5/102,2)</f>
        <v>19.1</v>
      </c>
      <c r="N12" s="641"/>
      <c r="O12" s="24"/>
      <c r="P12" s="70"/>
      <c r="Q12" s="71"/>
      <c r="R12" s="70"/>
    </row>
    <row r="13" spans="2:18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ROUND(J13*2072.5/792,2)</f>
        <v>7.17</v>
      </c>
      <c r="L13" s="68">
        <f>0.37+0.11+0.03+0.13+0.03+0.4+0.05+0.16+1.08+0.21+0.7</f>
        <v>3.2700000000000005</v>
      </c>
      <c r="M13" s="68">
        <f>ROUND(L13*2072.5/792,2)</f>
        <v>8.56</v>
      </c>
      <c r="N13" s="641"/>
      <c r="O13" s="68">
        <f>(J13+L13)/2*2072.5</f>
        <v>6227.8625</v>
      </c>
      <c r="P13" s="70"/>
      <c r="Q13" s="71"/>
      <c r="R13" s="70"/>
    </row>
    <row r="14" spans="2:18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  <c r="P14" s="70"/>
      <c r="Q14" s="70"/>
      <c r="R14" s="70"/>
    </row>
    <row r="15" spans="2:18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  <c r="P15" s="70"/>
      <c r="Q15" s="70"/>
      <c r="R15" s="70"/>
    </row>
    <row r="16" spans="2:18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  <c r="P16" s="70"/>
      <c r="Q16" s="70"/>
      <c r="R16" s="70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zoomScale="75" zoomScaleNormal="75" zoomScalePageLayoutView="0" workbookViewId="0" topLeftCell="F4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196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8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197</v>
      </c>
      <c r="H6" s="640">
        <v>0.312</v>
      </c>
      <c r="I6" s="638" t="s">
        <v>74</v>
      </c>
      <c r="J6" s="72">
        <v>3.5</v>
      </c>
      <c r="K6" s="69"/>
      <c r="L6" s="24">
        <v>3.51</v>
      </c>
      <c r="M6" s="69"/>
      <c r="N6" s="641" t="s">
        <v>513</v>
      </c>
      <c r="O6" s="69"/>
      <c r="P6" s="70"/>
      <c r="Q6" s="70"/>
      <c r="R6" s="70"/>
    </row>
    <row r="7" spans="2:18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  <c r="P7" s="70"/>
      <c r="Q7" s="70"/>
      <c r="R7" s="70"/>
    </row>
    <row r="8" spans="2:18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  <c r="P8" s="70"/>
      <c r="Q8" s="70"/>
      <c r="R8" s="70"/>
    </row>
    <row r="9" spans="2:18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  <c r="P9" s="70"/>
      <c r="Q9" s="70"/>
      <c r="R9" s="70"/>
    </row>
    <row r="10" spans="2:18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ROUND(J10*3160.3/670,2)</f>
        <v>9.2</v>
      </c>
      <c r="L10" s="68">
        <v>2.42</v>
      </c>
      <c r="M10" s="68">
        <f>ROUND(L10*3160.3/670,2)</f>
        <v>11.41</v>
      </c>
      <c r="N10" s="641"/>
      <c r="O10" s="68">
        <f>(J10+L10)/2*3160.3*2</f>
        <v>13810.511</v>
      </c>
      <c r="P10" s="70"/>
      <c r="Q10" s="71"/>
      <c r="R10" s="70"/>
    </row>
    <row r="11" spans="2:18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ROUND(J11*3160.3/552,2)</f>
        <v>7.16</v>
      </c>
      <c r="L11" s="68">
        <f>0.06+0.27+0.37+0.02+0.04+0.03+0.04+0.44</f>
        <v>1.27</v>
      </c>
      <c r="M11" s="68">
        <f>ROUND(L11*3160.3/552,2)</f>
        <v>7.27</v>
      </c>
      <c r="N11" s="641"/>
      <c r="O11" s="24"/>
      <c r="P11" s="70"/>
      <c r="Q11" s="71"/>
      <c r="R11" s="70"/>
    </row>
    <row r="12" spans="2:18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ROUND(J12*3160.3/365,2)</f>
        <v>7.88</v>
      </c>
      <c r="L12" s="68">
        <f>0.08+0.24+0.47+0.03+0.04+0.02+0.06</f>
        <v>0.9400000000000002</v>
      </c>
      <c r="M12" s="68">
        <f>ROUND(L12*3160.3/365,2)</f>
        <v>8.14</v>
      </c>
      <c r="N12" s="641"/>
      <c r="O12" s="24"/>
      <c r="P12" s="70"/>
      <c r="Q12" s="71"/>
      <c r="R12" s="70"/>
    </row>
    <row r="13" spans="2:18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ROUND(J13*3160.3/2116,2)</f>
        <v>4.09</v>
      </c>
      <c r="L13" s="68">
        <f>0.37+0.11+0.03+0.13+0.03+0.4+0.05+0.16+1.08+0.21+0.7</f>
        <v>3.2700000000000005</v>
      </c>
      <c r="M13" s="68">
        <f>ROUND(L13*3160.3/2116,2)</f>
        <v>4.88</v>
      </c>
      <c r="N13" s="641"/>
      <c r="O13" s="68">
        <f>(J13+L13)/2*3160.3</f>
        <v>9496.701500000001</v>
      </c>
      <c r="P13" s="70"/>
      <c r="Q13" s="71"/>
      <c r="R13" s="70"/>
    </row>
    <row r="14" spans="2:18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  <c r="P14" s="70"/>
      <c r="Q14" s="70"/>
      <c r="R14" s="70"/>
    </row>
    <row r="15" spans="2:18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  <c r="P15" s="70"/>
      <c r="Q15" s="70"/>
      <c r="R15" s="70"/>
    </row>
    <row r="16" spans="2:18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  <c r="P16" s="70"/>
      <c r="Q16" s="70"/>
      <c r="R16" s="70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zoomScale="75" zoomScaleNormal="75" zoomScalePageLayoutView="0" workbookViewId="0" topLeftCell="G4">
      <selection activeCell="O10" sqref="O10:O13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75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7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76</v>
      </c>
      <c r="H6" s="640">
        <v>0.34400000000000003</v>
      </c>
      <c r="I6" s="638" t="s">
        <v>390</v>
      </c>
      <c r="J6" s="72">
        <v>3.5</v>
      </c>
      <c r="K6" s="69"/>
      <c r="L6" s="24">
        <v>3.51</v>
      </c>
      <c r="M6" s="69"/>
      <c r="N6" s="641" t="s">
        <v>513</v>
      </c>
      <c r="O6" s="69"/>
      <c r="P6" s="70"/>
      <c r="Q6" s="70"/>
    </row>
    <row r="7" spans="2:17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  <c r="P7" s="70"/>
      <c r="Q7" s="70"/>
    </row>
    <row r="8" spans="2:17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  <c r="P8" s="70"/>
      <c r="Q8" s="70"/>
    </row>
    <row r="9" spans="2:17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  <c r="P9" s="70"/>
      <c r="Q9" s="70"/>
    </row>
    <row r="10" spans="2:17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ROUND(J10*2523.3/670,2)</f>
        <v>7.34</v>
      </c>
      <c r="L10" s="68">
        <v>2.42</v>
      </c>
      <c r="M10" s="68">
        <f>ROUND(L10*2523.3/670,2)</f>
        <v>9.11</v>
      </c>
      <c r="N10" s="641"/>
      <c r="O10" s="68">
        <f>(J10+L10)/2*2523.3*2</f>
        <v>11026.821000000002</v>
      </c>
      <c r="P10" s="70"/>
      <c r="Q10" s="71"/>
    </row>
    <row r="11" spans="2:17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ROUND(J11*2523.3/670,2)</f>
        <v>4.71</v>
      </c>
      <c r="L11" s="68">
        <f>0.06+0.27+0.37+0.02+0.04+0.03+0.04+0.44</f>
        <v>1.27</v>
      </c>
      <c r="M11" s="68">
        <f>ROUND(L11*2523.3/670,2)</f>
        <v>4.78</v>
      </c>
      <c r="N11" s="641"/>
      <c r="O11" s="24"/>
      <c r="P11" s="70"/>
      <c r="Q11" s="71"/>
    </row>
    <row r="12" spans="2:17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ROUND(J12*2523.3/365,2)</f>
        <v>6.29</v>
      </c>
      <c r="L12" s="68">
        <f>0.08+0.24+0.47+0.03+0.04+0.02+0.06</f>
        <v>0.9400000000000002</v>
      </c>
      <c r="M12" s="68">
        <f>ROUND(L12*2523.3/365,2)</f>
        <v>6.5</v>
      </c>
      <c r="N12" s="641"/>
      <c r="O12" s="24"/>
      <c r="P12" s="70"/>
      <c r="Q12" s="71"/>
    </row>
    <row r="13" spans="2:17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ROUND(J13*2523.3/2116,2)</f>
        <v>3.27</v>
      </c>
      <c r="L13" s="68">
        <f>0.37+0.11+0.03+0.13+0.03+0.4+0.05+0.16+1.08+0.21+0.7</f>
        <v>3.2700000000000005</v>
      </c>
      <c r="M13" s="68">
        <f>ROUND(L13*2523.3/2116,2)</f>
        <v>3.9</v>
      </c>
      <c r="N13" s="641"/>
      <c r="O13" s="68">
        <f>(J13+L13)/2*2523.3</f>
        <v>7582.516500000001</v>
      </c>
      <c r="P13" s="70"/>
      <c r="Q13" s="71"/>
    </row>
    <row r="14" spans="2:17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  <c r="P14" s="70"/>
      <c r="Q14" s="70"/>
    </row>
    <row r="15" spans="2:17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  <c r="P15" s="70"/>
      <c r="Q15" s="70"/>
    </row>
    <row r="16" spans="2:17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  <c r="P16" s="70"/>
      <c r="Q16" s="70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B7" sqref="B7:I7"/>
    </sheetView>
  </sheetViews>
  <sheetFormatPr defaultColWidth="9.00390625" defaultRowHeight="15.75"/>
  <cols>
    <col min="1" max="1" width="4.125" style="0" customWidth="1"/>
    <col min="2" max="2" width="5.125" style="0" customWidth="1"/>
    <col min="3" max="3" width="28.00390625" style="0" customWidth="1"/>
    <col min="4" max="4" width="16.75390625" style="0" customWidth="1"/>
    <col min="5" max="5" width="21.25390625" style="0" customWidth="1"/>
    <col min="7" max="7" width="20.50390625" style="0" customWidth="1"/>
    <col min="8" max="8" width="18.75390625" style="0" customWidth="1"/>
    <col min="9" max="9" width="22.75390625" style="0" customWidth="1"/>
  </cols>
  <sheetData>
    <row r="1" ht="15">
      <c r="I1" s="11" t="s">
        <v>844</v>
      </c>
    </row>
    <row r="3" spans="2:9" ht="33.75" customHeight="1">
      <c r="B3" s="486" t="s">
        <v>139</v>
      </c>
      <c r="C3" s="487"/>
      <c r="D3" s="487"/>
      <c r="E3" s="487"/>
      <c r="F3" s="487"/>
      <c r="G3" s="487"/>
      <c r="H3" s="487"/>
      <c r="I3" s="488"/>
    </row>
    <row r="4" spans="1:9" ht="49.5" customHeight="1">
      <c r="A4" s="6"/>
      <c r="B4" s="9" t="s">
        <v>138</v>
      </c>
      <c r="C4" s="9" t="s">
        <v>163</v>
      </c>
      <c r="D4" s="9" t="s">
        <v>837</v>
      </c>
      <c r="E4" s="9" t="s">
        <v>164</v>
      </c>
      <c r="F4" s="9" t="s">
        <v>5</v>
      </c>
      <c r="G4" s="9" t="s">
        <v>166</v>
      </c>
      <c r="H4" s="9" t="s">
        <v>167</v>
      </c>
      <c r="I4" s="9" t="s">
        <v>140</v>
      </c>
    </row>
    <row r="5" spans="2:9" ht="15">
      <c r="B5" s="36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</row>
    <row r="6" spans="2:9" ht="15">
      <c r="B6" s="38"/>
      <c r="C6" s="38"/>
      <c r="D6" s="38"/>
      <c r="E6" s="38"/>
      <c r="F6" s="38"/>
      <c r="G6" s="38"/>
      <c r="H6" s="38"/>
      <c r="I6" s="38"/>
    </row>
    <row r="7" spans="2:9" ht="15">
      <c r="B7" s="489" t="s">
        <v>412</v>
      </c>
      <c r="C7" s="490"/>
      <c r="D7" s="490"/>
      <c r="E7" s="490"/>
      <c r="F7" s="490"/>
      <c r="G7" s="490"/>
      <c r="H7" s="490"/>
      <c r="I7" s="491"/>
    </row>
    <row r="8" spans="1:12" ht="15">
      <c r="A8" s="1"/>
      <c r="B8" s="39"/>
      <c r="C8" s="39"/>
      <c r="D8" s="39"/>
      <c r="E8" s="39"/>
      <c r="F8" s="39"/>
      <c r="G8" s="39"/>
      <c r="H8" s="39"/>
      <c r="I8" s="39"/>
      <c r="J8" s="1"/>
      <c r="K8" s="1"/>
      <c r="L8" s="1"/>
    </row>
    <row r="9" spans="1:12" ht="15">
      <c r="A9" s="1"/>
      <c r="B9" s="28"/>
      <c r="C9" s="28"/>
      <c r="D9" s="28"/>
      <c r="E9" s="28"/>
      <c r="F9" s="28"/>
      <c r="G9" s="28"/>
      <c r="H9" s="28"/>
      <c r="I9" s="28"/>
      <c r="J9" s="1"/>
      <c r="K9" s="1"/>
      <c r="L9" s="1"/>
    </row>
    <row r="10" spans="1:12" ht="15">
      <c r="A10" s="1"/>
      <c r="B10" s="28"/>
      <c r="C10" s="28"/>
      <c r="D10" s="28"/>
      <c r="E10" s="28"/>
      <c r="F10" s="28"/>
      <c r="G10" s="28"/>
      <c r="H10" s="28"/>
      <c r="I10" s="28"/>
      <c r="J10" s="1"/>
      <c r="K10" s="1"/>
      <c r="L10" s="1"/>
    </row>
    <row r="11" spans="1:12" ht="15">
      <c r="A11" s="1"/>
      <c r="B11" s="28"/>
      <c r="C11" s="28"/>
      <c r="D11" s="28"/>
      <c r="E11" s="28"/>
      <c r="F11" s="28"/>
      <c r="G11" s="28"/>
      <c r="H11" s="28"/>
      <c r="I11" s="28"/>
      <c r="J11" s="1"/>
      <c r="K11" s="1"/>
      <c r="L11" s="1"/>
    </row>
    <row r="12" spans="1:12" ht="15">
      <c r="A12" s="1"/>
      <c r="B12" s="28"/>
      <c r="C12" s="28"/>
      <c r="D12" s="28"/>
      <c r="E12" s="28"/>
      <c r="F12" s="28"/>
      <c r="G12" s="28"/>
      <c r="H12" s="28"/>
      <c r="I12" s="28"/>
      <c r="J12" s="1"/>
      <c r="K12" s="1"/>
      <c r="L12" s="1"/>
    </row>
    <row r="13" spans="1:12" ht="15">
      <c r="A13" s="1"/>
      <c r="B13" s="28"/>
      <c r="C13" s="28"/>
      <c r="D13" s="28"/>
      <c r="E13" s="28"/>
      <c r="F13" s="28"/>
      <c r="G13" s="28"/>
      <c r="H13" s="28"/>
      <c r="I13" s="28"/>
      <c r="J13" s="1"/>
      <c r="K13" s="1"/>
      <c r="L13" s="1"/>
    </row>
    <row r="14" spans="1:12" ht="15">
      <c r="A14" s="1"/>
      <c r="B14" s="28"/>
      <c r="C14" s="28"/>
      <c r="D14" s="28"/>
      <c r="E14" s="28"/>
      <c r="F14" s="28"/>
      <c r="G14" s="28"/>
      <c r="H14" s="28"/>
      <c r="I14" s="28"/>
      <c r="J14" s="1"/>
      <c r="K14" s="1"/>
      <c r="L14" s="1"/>
    </row>
    <row r="15" spans="1:12" ht="15">
      <c r="A15" s="1"/>
      <c r="B15" s="28"/>
      <c r="C15" s="28"/>
      <c r="D15" s="28"/>
      <c r="E15" s="28"/>
      <c r="F15" s="28"/>
      <c r="G15" s="28"/>
      <c r="H15" s="28"/>
      <c r="I15" s="28"/>
      <c r="J15" s="1"/>
      <c r="K15" s="1"/>
      <c r="L15" s="1"/>
    </row>
    <row r="16" spans="1:12" ht="15">
      <c r="A16" s="1"/>
      <c r="B16" s="28"/>
      <c r="C16" s="28"/>
      <c r="D16" s="28"/>
      <c r="E16" s="28"/>
      <c r="F16" s="28"/>
      <c r="G16" s="28"/>
      <c r="H16" s="28"/>
      <c r="I16" s="28"/>
      <c r="J16" s="1"/>
      <c r="K16" s="1"/>
      <c r="L16" s="1"/>
    </row>
    <row r="17" spans="1:12" ht="15">
      <c r="A17" s="1"/>
      <c r="B17" s="28"/>
      <c r="C17" s="28"/>
      <c r="D17" s="28"/>
      <c r="E17" s="28"/>
      <c r="F17" s="28"/>
      <c r="G17" s="28"/>
      <c r="H17" s="28"/>
      <c r="I17" s="28"/>
      <c r="J17" s="1"/>
      <c r="K17" s="1"/>
      <c r="L17" s="1"/>
    </row>
    <row r="18" spans="1:12" ht="15">
      <c r="A18" s="1"/>
      <c r="B18" s="28"/>
      <c r="C18" s="28"/>
      <c r="D18" s="28"/>
      <c r="E18" s="28"/>
      <c r="F18" s="28"/>
      <c r="G18" s="28"/>
      <c r="H18" s="28"/>
      <c r="I18" s="28"/>
      <c r="J18" s="1"/>
      <c r="K18" s="1"/>
      <c r="L18" s="1"/>
    </row>
    <row r="19" spans="1:12" ht="15">
      <c r="A19" s="1"/>
      <c r="B19" s="28"/>
      <c r="C19" s="28"/>
      <c r="D19" s="28"/>
      <c r="E19" s="28"/>
      <c r="F19" s="28"/>
      <c r="G19" s="28"/>
      <c r="H19" s="28"/>
      <c r="I19" s="28"/>
      <c r="J19" s="1"/>
      <c r="K19" s="1"/>
      <c r="L19" s="1"/>
    </row>
    <row r="20" spans="1:12" ht="15">
      <c r="A20" s="1"/>
      <c r="B20" s="28"/>
      <c r="C20" s="28"/>
      <c r="D20" s="28"/>
      <c r="E20" s="28"/>
      <c r="F20" s="28"/>
      <c r="G20" s="28"/>
      <c r="H20" s="28"/>
      <c r="I20" s="28"/>
      <c r="J20" s="1"/>
      <c r="K20" s="1"/>
      <c r="L20" s="1"/>
    </row>
    <row r="21" spans="1:12" ht="15">
      <c r="A21" s="1"/>
      <c r="B21" s="28"/>
      <c r="C21" s="28"/>
      <c r="D21" s="28"/>
      <c r="E21" s="28"/>
      <c r="F21" s="28"/>
      <c r="G21" s="28"/>
      <c r="H21" s="28"/>
      <c r="I21" s="28"/>
      <c r="J21" s="1"/>
      <c r="K21" s="1"/>
      <c r="L21" s="1"/>
    </row>
    <row r="22" spans="1:12" ht="15">
      <c r="A22" s="1"/>
      <c r="B22" s="28"/>
      <c r="C22" s="28"/>
      <c r="D22" s="28"/>
      <c r="E22" s="28"/>
      <c r="F22" s="28"/>
      <c r="G22" s="28"/>
      <c r="H22" s="28"/>
      <c r="I22" s="28"/>
      <c r="J22" s="1"/>
      <c r="K22" s="1"/>
      <c r="L22" s="1"/>
    </row>
    <row r="23" spans="1:12" ht="15">
      <c r="A23" s="1"/>
      <c r="B23" s="28"/>
      <c r="C23" s="28"/>
      <c r="D23" s="28"/>
      <c r="E23" s="28"/>
      <c r="F23" s="28"/>
      <c r="G23" s="28"/>
      <c r="H23" s="28"/>
      <c r="I23" s="28"/>
      <c r="J23" s="1"/>
      <c r="K23" s="1"/>
      <c r="L23" s="1"/>
    </row>
    <row r="24" spans="1:12" ht="15">
      <c r="A24" s="1"/>
      <c r="B24" s="28"/>
      <c r="C24" s="28"/>
      <c r="D24" s="28"/>
      <c r="E24" s="28"/>
      <c r="F24" s="28"/>
      <c r="G24" s="28"/>
      <c r="H24" s="28"/>
      <c r="I24" s="28"/>
      <c r="J24" s="1"/>
      <c r="K24" s="1"/>
      <c r="L24" s="1"/>
    </row>
    <row r="25" spans="1:12" ht="15">
      <c r="A25" s="1"/>
      <c r="B25" s="28"/>
      <c r="C25" s="28"/>
      <c r="D25" s="28"/>
      <c r="E25" s="28"/>
      <c r="F25" s="28"/>
      <c r="G25" s="28"/>
      <c r="H25" s="28"/>
      <c r="I25" s="28"/>
      <c r="J25" s="1"/>
      <c r="K25" s="1"/>
      <c r="L25" s="1"/>
    </row>
    <row r="26" spans="1:12" ht="15">
      <c r="A26" s="1"/>
      <c r="B26" s="28"/>
      <c r="C26" s="28"/>
      <c r="D26" s="28"/>
      <c r="E26" s="28"/>
      <c r="F26" s="28"/>
      <c r="G26" s="28"/>
      <c r="H26" s="28"/>
      <c r="I26" s="28"/>
      <c r="J26" s="1"/>
      <c r="K26" s="1"/>
      <c r="L26" s="1"/>
    </row>
    <row r="27" spans="1:12" ht="15">
      <c r="A27" s="1"/>
      <c r="B27" s="28"/>
      <c r="C27" s="28"/>
      <c r="D27" s="28"/>
      <c r="E27" s="28"/>
      <c r="F27" s="28"/>
      <c r="G27" s="28"/>
      <c r="H27" s="28"/>
      <c r="I27" s="28"/>
      <c r="J27" s="1"/>
      <c r="K27" s="1"/>
      <c r="L27" s="1"/>
    </row>
    <row r="28" spans="1:12" ht="15">
      <c r="A28" s="1"/>
      <c r="B28" s="28"/>
      <c r="C28" s="28"/>
      <c r="D28" s="28"/>
      <c r="E28" s="28"/>
      <c r="F28" s="28"/>
      <c r="G28" s="28"/>
      <c r="H28" s="28"/>
      <c r="I28" s="28"/>
      <c r="J28" s="1"/>
      <c r="K28" s="1"/>
      <c r="L28" s="1"/>
    </row>
    <row r="29" spans="1:12" ht="15">
      <c r="A29" s="1"/>
      <c r="B29" s="28"/>
      <c r="C29" s="28"/>
      <c r="D29" s="28"/>
      <c r="E29" s="28"/>
      <c r="F29" s="28"/>
      <c r="G29" s="28"/>
      <c r="H29" s="28"/>
      <c r="I29" s="28"/>
      <c r="J29" s="1"/>
      <c r="K29" s="1"/>
      <c r="L29" s="1"/>
    </row>
    <row r="30" spans="1:12" ht="15">
      <c r="A30" s="1"/>
      <c r="B30" s="28"/>
      <c r="C30" s="28"/>
      <c r="D30" s="28"/>
      <c r="E30" s="28"/>
      <c r="F30" s="28"/>
      <c r="G30" s="28"/>
      <c r="H30" s="28"/>
      <c r="I30" s="28"/>
      <c r="J30" s="1"/>
      <c r="K30" s="1"/>
      <c r="L30" s="1"/>
    </row>
    <row r="31" spans="1:12" ht="15">
      <c r="A31" s="1"/>
      <c r="B31" s="28"/>
      <c r="C31" s="28"/>
      <c r="D31" s="28"/>
      <c r="E31" s="28"/>
      <c r="F31" s="28"/>
      <c r="G31" s="28"/>
      <c r="H31" s="28"/>
      <c r="I31" s="28"/>
      <c r="J31" s="1"/>
      <c r="K31" s="1"/>
      <c r="L31" s="1"/>
    </row>
    <row r="32" spans="1:12" ht="15">
      <c r="A32" s="1"/>
      <c r="B32" s="28"/>
      <c r="C32" s="28"/>
      <c r="D32" s="28"/>
      <c r="E32" s="28"/>
      <c r="F32" s="28"/>
      <c r="G32" s="28"/>
      <c r="H32" s="28"/>
      <c r="I32" s="28"/>
      <c r="J32" s="1"/>
      <c r="K32" s="1"/>
      <c r="L32" s="1"/>
    </row>
    <row r="33" spans="1:12" ht="15">
      <c r="A33" s="1"/>
      <c r="B33" s="28"/>
      <c r="C33" s="28"/>
      <c r="D33" s="28"/>
      <c r="E33" s="28"/>
      <c r="F33" s="28"/>
      <c r="G33" s="28"/>
      <c r="H33" s="28"/>
      <c r="I33" s="28"/>
      <c r="J33" s="1"/>
      <c r="K33" s="1"/>
      <c r="L33" s="1"/>
    </row>
    <row r="34" spans="1:12" ht="15">
      <c r="A34" s="1"/>
      <c r="B34" s="28"/>
      <c r="C34" s="28"/>
      <c r="D34" s="28"/>
      <c r="E34" s="28"/>
      <c r="F34" s="28"/>
      <c r="G34" s="28"/>
      <c r="H34" s="28"/>
      <c r="I34" s="28"/>
      <c r="J34" s="1"/>
      <c r="K34" s="1"/>
      <c r="L34" s="1"/>
    </row>
    <row r="35" spans="1:12" ht="15">
      <c r="A35" s="1"/>
      <c r="B35" s="28"/>
      <c r="C35" s="28"/>
      <c r="D35" s="28"/>
      <c r="E35" s="28"/>
      <c r="F35" s="28"/>
      <c r="G35" s="28"/>
      <c r="H35" s="28"/>
      <c r="I35" s="28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2">
    <mergeCell ref="B3:I3"/>
    <mergeCell ref="B7:I7"/>
  </mergeCells>
  <printOptions/>
  <pageMargins left="0.9055118110236221" right="0.5118110236220472" top="0.5511811023622047" bottom="0.5511811023622047" header="0.31496062992125984" footer="0.31496062992125984"/>
  <pageSetup fitToHeight="0" fitToWidth="1" horizontalDpi="600" verticalDpi="600" orientation="landscape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zoomScale="75" zoomScaleNormal="75" zoomScalePageLayoutView="0" workbookViewId="0" topLeftCell="F4">
      <selection activeCell="O10" sqref="O10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391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8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80</v>
      </c>
      <c r="H6" s="640">
        <v>0.328</v>
      </c>
      <c r="I6" s="638" t="s">
        <v>81</v>
      </c>
      <c r="J6" s="72">
        <v>3.5</v>
      </c>
      <c r="K6" s="69"/>
      <c r="L6" s="24">
        <v>3.51</v>
      </c>
      <c r="M6" s="69"/>
      <c r="N6" s="641" t="s">
        <v>513</v>
      </c>
      <c r="O6" s="69"/>
      <c r="P6" s="70"/>
      <c r="Q6" s="70"/>
      <c r="R6" s="70"/>
    </row>
    <row r="7" spans="2:18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  <c r="P7" s="70"/>
      <c r="Q7" s="70"/>
      <c r="R7" s="70"/>
    </row>
    <row r="8" spans="2:18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  <c r="P8" s="70"/>
      <c r="Q8" s="70"/>
      <c r="R8" s="70"/>
    </row>
    <row r="9" spans="2:18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  <c r="P9" s="70"/>
      <c r="Q9" s="70"/>
      <c r="R9" s="70"/>
    </row>
    <row r="10" spans="2:18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ROUND(J10*1627.9/670,2)</f>
        <v>4.74</v>
      </c>
      <c r="L10" s="68">
        <v>2.42</v>
      </c>
      <c r="M10" s="68">
        <f>ROUND(L10*1627.9/670,2)</f>
        <v>5.88</v>
      </c>
      <c r="N10" s="641"/>
      <c r="O10" s="68">
        <f>(J10+L10)/2*1627.9*2</f>
        <v>7113.923000000001</v>
      </c>
      <c r="P10" s="70"/>
      <c r="Q10" s="71"/>
      <c r="R10" s="70"/>
    </row>
    <row r="11" spans="2:18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ROUND(J11*1627.9/1282,2)</f>
        <v>1.59</v>
      </c>
      <c r="L11" s="68">
        <f>0.06+0.27+0.37+0.02+0.04+0.03+0.04+0.44</f>
        <v>1.27</v>
      </c>
      <c r="M11" s="68">
        <f>ROUND(L11*1627.9/1282,2)</f>
        <v>1.61</v>
      </c>
      <c r="N11" s="641"/>
      <c r="O11" s="24"/>
      <c r="P11" s="70"/>
      <c r="Q11" s="71"/>
      <c r="R11" s="70"/>
    </row>
    <row r="12" spans="2:18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ROUND(J12*1627.9/314,2)</f>
        <v>4.72</v>
      </c>
      <c r="L12" s="68">
        <f>0.08+0.24+0.47+0.03+0.04+0.02+0.06</f>
        <v>0.9400000000000002</v>
      </c>
      <c r="M12" s="68">
        <f>ROUND(L12*1627.9/314,2)</f>
        <v>4.87</v>
      </c>
      <c r="N12" s="641"/>
      <c r="O12" s="24"/>
      <c r="P12" s="70"/>
      <c r="Q12" s="71"/>
      <c r="R12" s="70"/>
    </row>
    <row r="13" spans="2:18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ROUND(J13*1627.9/1074,2)</f>
        <v>4.15</v>
      </c>
      <c r="L13" s="68">
        <f>0.37+0.11+0.03+0.13+0.03+0.4+0.05+0.16+1.08+0.21+0.7</f>
        <v>3.2700000000000005</v>
      </c>
      <c r="M13" s="68">
        <f>ROUND(L13*1627.9/1074,2)</f>
        <v>4.96</v>
      </c>
      <c r="N13" s="641"/>
      <c r="O13" s="68">
        <f>(J13+L13)/2*1627.9</f>
        <v>4891.8395</v>
      </c>
      <c r="P13" s="70"/>
      <c r="Q13" s="71"/>
      <c r="R13" s="70"/>
    </row>
    <row r="14" spans="2:18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  <c r="P14" s="70"/>
      <c r="Q14" s="70"/>
      <c r="R14" s="70"/>
    </row>
    <row r="15" spans="2:18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  <c r="P15" s="70"/>
      <c r="Q15" s="70"/>
      <c r="R15" s="70"/>
    </row>
    <row r="16" spans="2:18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  <c r="P16" s="70"/>
      <c r="Q16" s="70"/>
      <c r="R16" s="70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="28" customFormat="1" ht="15">
      <c r="B32" s="60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zoomScale="75" zoomScaleNormal="75" zoomScalePageLayoutView="0" workbookViewId="0" topLeftCell="H4">
      <selection activeCell="O10" sqref="O10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7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82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10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48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7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37" t="s">
        <v>508</v>
      </c>
      <c r="G6" s="638" t="s">
        <v>401</v>
      </c>
      <c r="H6" s="640">
        <v>0.328</v>
      </c>
      <c r="I6" s="638" t="s">
        <v>402</v>
      </c>
      <c r="J6" s="72">
        <v>3.5</v>
      </c>
      <c r="K6" s="69"/>
      <c r="L6" s="24">
        <v>3.51</v>
      </c>
      <c r="M6" s="69"/>
      <c r="N6" s="641" t="s">
        <v>513</v>
      </c>
      <c r="O6" s="69"/>
      <c r="P6" s="70"/>
      <c r="Q6" s="70"/>
    </row>
    <row r="7" spans="2:17" ht="23.25" customHeight="1">
      <c r="B7" s="32" t="s">
        <v>366</v>
      </c>
      <c r="C7" s="34" t="s">
        <v>348</v>
      </c>
      <c r="D7" s="633"/>
      <c r="E7" s="633"/>
      <c r="F7" s="637"/>
      <c r="G7" s="638"/>
      <c r="H7" s="640"/>
      <c r="I7" s="638"/>
      <c r="J7" s="72">
        <v>0.03</v>
      </c>
      <c r="K7" s="69"/>
      <c r="L7" s="24">
        <v>0.04</v>
      </c>
      <c r="M7" s="69"/>
      <c r="N7" s="641"/>
      <c r="O7" s="69"/>
      <c r="P7" s="70"/>
      <c r="Q7" s="70"/>
    </row>
    <row r="8" spans="2:17" ht="43.5" customHeight="1">
      <c r="B8" s="32" t="s">
        <v>368</v>
      </c>
      <c r="C8" s="34" t="s">
        <v>495</v>
      </c>
      <c r="D8" s="633"/>
      <c r="E8" s="633"/>
      <c r="F8" s="637"/>
      <c r="G8" s="638"/>
      <c r="H8" s="640"/>
      <c r="I8" s="638"/>
      <c r="J8" s="72">
        <f>2.84+0.19+0.3+1.35+1.42</f>
        <v>6.1</v>
      </c>
      <c r="K8" s="69"/>
      <c r="L8" s="24">
        <f>2.97+0.2+0.31+1.41+1.49</f>
        <v>6.380000000000001</v>
      </c>
      <c r="M8" s="69"/>
      <c r="N8" s="641"/>
      <c r="O8" s="69"/>
      <c r="P8" s="70"/>
      <c r="Q8" s="70"/>
    </row>
    <row r="9" spans="2:17" ht="39" customHeight="1">
      <c r="B9" s="32" t="s">
        <v>369</v>
      </c>
      <c r="C9" s="34" t="s">
        <v>496</v>
      </c>
      <c r="D9" s="633"/>
      <c r="E9" s="633"/>
      <c r="F9" s="637"/>
      <c r="G9" s="638"/>
      <c r="H9" s="639" t="s">
        <v>991</v>
      </c>
      <c r="I9" s="638"/>
      <c r="J9" s="72">
        <f>0.41+0.05+0.18+0.23+0.06+0.02+0.5+0.04+0.09+0.95+0.17+0.19+0.02+0.02+0.05+0.07</f>
        <v>3.05</v>
      </c>
      <c r="K9" s="69"/>
      <c r="L9" s="24">
        <f>0.43+0.05+0.19+0.24+0.06+0.02+0.52+0.04+0.09+0.28+0.21+0.2+0.02+0.02+0.05+0.07</f>
        <v>2.49</v>
      </c>
      <c r="M9" s="69"/>
      <c r="N9" s="641"/>
      <c r="O9" s="69"/>
      <c r="P9" s="70"/>
      <c r="Q9" s="70"/>
    </row>
    <row r="10" spans="2:17" ht="37.5" customHeight="1">
      <c r="B10" s="32" t="s">
        <v>370</v>
      </c>
      <c r="C10" s="34" t="s">
        <v>497</v>
      </c>
      <c r="D10" s="633"/>
      <c r="E10" s="633"/>
      <c r="F10" s="637"/>
      <c r="G10" s="638"/>
      <c r="H10" s="637"/>
      <c r="I10" s="638"/>
      <c r="J10" s="72">
        <f>0.33+0.12+0.07+0.25+0.47+0.02+0.57+0.06+0.02+0.04</f>
        <v>1.9500000000000002</v>
      </c>
      <c r="K10" s="68">
        <f>ROUND(J10*2498.9/696,2)</f>
        <v>7</v>
      </c>
      <c r="L10" s="68">
        <v>2.42</v>
      </c>
      <c r="M10" s="68">
        <f>ROUND(L10*2498.9/696,2)</f>
        <v>8.69</v>
      </c>
      <c r="N10" s="641"/>
      <c r="O10" s="68">
        <f>(J10+L10)/2*2498.9*2</f>
        <v>10920.193000000001</v>
      </c>
      <c r="P10" s="70"/>
      <c r="Q10" s="71"/>
    </row>
    <row r="11" spans="2:17" ht="45" customHeight="1">
      <c r="B11" s="32" t="s">
        <v>498</v>
      </c>
      <c r="C11" s="34" t="s">
        <v>506</v>
      </c>
      <c r="D11" s="633"/>
      <c r="E11" s="633"/>
      <c r="F11" s="637"/>
      <c r="G11" s="638"/>
      <c r="H11" s="637"/>
      <c r="I11" s="638"/>
      <c r="J11" s="72">
        <f>0.06+0.27+0.37+0.02+0.04+0.03+0.04+0.42</f>
        <v>1.25</v>
      </c>
      <c r="K11" s="68">
        <f>ROUND(J11*2498.9/670,2)</f>
        <v>4.66</v>
      </c>
      <c r="L11" s="68">
        <f>0.06+0.27+0.37+0.02+0.04+0.03+0.04+0.44</f>
        <v>1.27</v>
      </c>
      <c r="M11" s="68">
        <f>ROUND(L11*2498.9/670,2)</f>
        <v>4.74</v>
      </c>
      <c r="N11" s="641"/>
      <c r="O11" s="24"/>
      <c r="P11" s="70"/>
      <c r="Q11" s="71"/>
    </row>
    <row r="12" spans="2:17" ht="42.75" customHeight="1">
      <c r="B12" s="32" t="s">
        <v>500</v>
      </c>
      <c r="C12" s="34" t="s">
        <v>499</v>
      </c>
      <c r="D12" s="633"/>
      <c r="E12" s="633"/>
      <c r="F12" s="637"/>
      <c r="G12" s="638"/>
      <c r="H12" s="637"/>
      <c r="I12" s="638"/>
      <c r="J12" s="72">
        <f>0.08+0.04+0.02+0.23+0.45+0.03+0.06</f>
        <v>0.9100000000000001</v>
      </c>
      <c r="K12" s="68">
        <f>ROUND(J12*2498.9/365,2)</f>
        <v>6.23</v>
      </c>
      <c r="L12" s="68">
        <f>0.08+0.24+0.47+0.03+0.04+0.02+0.06</f>
        <v>0.9400000000000002</v>
      </c>
      <c r="M12" s="68">
        <f>ROUND(L12*2498.9/365,2)</f>
        <v>6.44</v>
      </c>
      <c r="N12" s="641"/>
      <c r="O12" s="24"/>
      <c r="P12" s="70"/>
      <c r="Q12" s="71"/>
    </row>
    <row r="13" spans="2:17" ht="43.5" customHeight="1">
      <c r="B13" s="32" t="s">
        <v>502</v>
      </c>
      <c r="C13" s="34" t="s">
        <v>501</v>
      </c>
      <c r="D13" s="633"/>
      <c r="E13" s="633"/>
      <c r="F13" s="637"/>
      <c r="G13" s="638"/>
      <c r="H13" s="637"/>
      <c r="I13" s="638"/>
      <c r="J13" s="72">
        <f>0.04+0.35+0.11+0.03+0.12+0.03+0.38+0.12+0.23+0.03+0.02+0.04+0.15+0.94+0.08+0.02+0.05</f>
        <v>2.7399999999999998</v>
      </c>
      <c r="K13" s="68">
        <f>ROUND(J13*2498.9/2044,2)</f>
        <v>3.35</v>
      </c>
      <c r="L13" s="68">
        <f>0.37+0.11+0.03+0.13+0.03+0.4+0.05+0.16+1.08+0.21+0.7</f>
        <v>3.2700000000000005</v>
      </c>
      <c r="M13" s="68">
        <f>ROUND(L13*2498.9/2044,2)</f>
        <v>4</v>
      </c>
      <c r="N13" s="641"/>
      <c r="O13" s="68">
        <f>(J13+L13)/2*2498.9</f>
        <v>7509.1945</v>
      </c>
      <c r="P13" s="70"/>
      <c r="Q13" s="71"/>
    </row>
    <row r="14" spans="2:17" ht="35.25" customHeight="1">
      <c r="B14" s="32" t="s">
        <v>503</v>
      </c>
      <c r="C14" s="34" t="s">
        <v>394</v>
      </c>
      <c r="D14" s="633"/>
      <c r="E14" s="633"/>
      <c r="F14" s="637"/>
      <c r="G14" s="638"/>
      <c r="H14" s="637"/>
      <c r="I14" s="638"/>
      <c r="J14" s="72">
        <v>0.29</v>
      </c>
      <c r="K14" s="69"/>
      <c r="L14" s="68">
        <f>0.13+0.18</f>
        <v>0.31</v>
      </c>
      <c r="M14" s="69"/>
      <c r="N14" s="641"/>
      <c r="O14" s="69"/>
      <c r="P14" s="70"/>
      <c r="Q14" s="70"/>
    </row>
    <row r="15" spans="2:17" ht="52.5" customHeight="1">
      <c r="B15" s="32" t="s">
        <v>504</v>
      </c>
      <c r="C15" s="34" t="s">
        <v>392</v>
      </c>
      <c r="D15" s="633"/>
      <c r="E15" s="633"/>
      <c r="F15" s="637"/>
      <c r="G15" s="638"/>
      <c r="H15" s="637"/>
      <c r="I15" s="638"/>
      <c r="J15" s="72">
        <f>0.31+1.99+0.45+0.19+0.08</f>
        <v>3.02</v>
      </c>
      <c r="K15" s="69"/>
      <c r="L15" s="24">
        <f>0.32+2.05+0.48+0.2+0.08</f>
        <v>3.13</v>
      </c>
      <c r="M15" s="69"/>
      <c r="N15" s="641"/>
      <c r="O15" s="69"/>
      <c r="P15" s="70"/>
      <c r="Q15" s="70"/>
    </row>
    <row r="16" spans="2:17" ht="51.75" customHeight="1">
      <c r="B16" s="32" t="s">
        <v>507</v>
      </c>
      <c r="C16" s="34" t="s">
        <v>393</v>
      </c>
      <c r="D16" s="633"/>
      <c r="E16" s="633"/>
      <c r="F16" s="637"/>
      <c r="G16" s="638"/>
      <c r="H16" s="637"/>
      <c r="I16" s="638"/>
      <c r="J16" s="72">
        <v>0.03</v>
      </c>
      <c r="K16" s="69"/>
      <c r="L16" s="24">
        <v>0.03</v>
      </c>
      <c r="M16" s="69"/>
      <c r="N16" s="641"/>
      <c r="O16" s="69"/>
      <c r="P16" s="70"/>
      <c r="Q16" s="70"/>
    </row>
    <row r="17" spans="2:15" ht="39.75">
      <c r="B17" s="32" t="s">
        <v>396</v>
      </c>
      <c r="C17" s="34" t="s">
        <v>397</v>
      </c>
      <c r="D17" s="633"/>
      <c r="E17" s="633"/>
      <c r="F17" s="637"/>
      <c r="G17" s="638"/>
      <c r="H17" s="637"/>
      <c r="I17" s="638"/>
      <c r="J17" s="72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7"/>
      <c r="G18" s="638"/>
      <c r="H18" s="637"/>
      <c r="I18" s="638"/>
      <c r="J18" s="72">
        <v>2.37</v>
      </c>
      <c r="K18" s="24"/>
      <c r="L18" s="24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116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116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116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116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116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116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116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116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116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116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116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116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116"/>
      <c r="K31" s="58"/>
      <c r="L31" s="58"/>
      <c r="M31" s="58"/>
      <c r="N31" s="58"/>
      <c r="O31" s="58"/>
    </row>
    <row r="32" spans="2:10" s="28" customFormat="1" ht="15">
      <c r="B32" s="60"/>
      <c r="J32" s="78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I6:I18"/>
    <mergeCell ref="G6:G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G4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403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9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86</v>
      </c>
      <c r="H6" s="635">
        <v>0.22399999999999998</v>
      </c>
      <c r="I6" s="632" t="s">
        <v>87</v>
      </c>
      <c r="J6" s="35">
        <v>3.5</v>
      </c>
      <c r="K6" s="69"/>
      <c r="L6" s="72">
        <v>3.51</v>
      </c>
      <c r="M6" s="69"/>
      <c r="N6" s="641" t="s">
        <v>513</v>
      </c>
      <c r="O6" s="69"/>
      <c r="P6" s="70"/>
      <c r="Q6" s="70"/>
      <c r="S6" s="61"/>
    </row>
    <row r="7" spans="2:19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35">
        <v>0.03</v>
      </c>
      <c r="K7" s="69"/>
      <c r="L7" s="72">
        <v>0.04</v>
      </c>
      <c r="M7" s="69"/>
      <c r="N7" s="641"/>
      <c r="O7" s="69"/>
      <c r="P7" s="70"/>
      <c r="Q7" s="70"/>
      <c r="S7" s="61"/>
    </row>
    <row r="8" spans="2:19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35">
        <v>5.49</v>
      </c>
      <c r="K8" s="69"/>
      <c r="L8" s="72">
        <v>5.6</v>
      </c>
      <c r="M8" s="69"/>
      <c r="N8" s="641"/>
      <c r="O8" s="69"/>
      <c r="P8" s="70"/>
      <c r="Q8" s="70"/>
      <c r="S8" s="61"/>
    </row>
    <row r="9" spans="2:19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35">
        <v>2.15</v>
      </c>
      <c r="K9" s="69"/>
      <c r="L9" s="72">
        <v>2.36</v>
      </c>
      <c r="M9" s="69"/>
      <c r="N9" s="641"/>
      <c r="O9" s="69"/>
      <c r="P9" s="70"/>
      <c r="Q9" s="70"/>
      <c r="S9" s="61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35">
        <v>2.01</v>
      </c>
      <c r="K10" s="68">
        <f>ROUND(J10*3417.5/750,2)</f>
        <v>9.16</v>
      </c>
      <c r="L10" s="72">
        <v>2.33</v>
      </c>
      <c r="M10" s="68">
        <f>ROUND(L10*3417.5/750,2)</f>
        <v>10.62</v>
      </c>
      <c r="N10" s="641"/>
      <c r="O10" s="68">
        <f>(J10+L10)/2*3417.5*2</f>
        <v>14831.949999999999</v>
      </c>
      <c r="P10" s="70"/>
      <c r="Q10" s="7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35">
        <v>2.28</v>
      </c>
      <c r="K11" s="68">
        <f>ROUND(J11*3417.5/1570,2)</f>
        <v>4.96</v>
      </c>
      <c r="L11" s="72">
        <v>2.28</v>
      </c>
      <c r="M11" s="68">
        <f>ROUND(L11*3417.5/1570,2)</f>
        <v>4.96</v>
      </c>
      <c r="N11" s="641"/>
      <c r="O11" s="24"/>
      <c r="P11" s="70"/>
      <c r="Q11" s="7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35">
        <v>1.35</v>
      </c>
      <c r="K12" s="68">
        <f>ROUND(J12*3417.5/400,2)</f>
        <v>11.53</v>
      </c>
      <c r="L12" s="72">
        <v>1.36</v>
      </c>
      <c r="M12" s="68">
        <f>ROUND(L12*3417.5/400,2)</f>
        <v>11.62</v>
      </c>
      <c r="N12" s="641"/>
      <c r="O12" s="24"/>
      <c r="P12" s="70"/>
      <c r="Q12" s="7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35">
        <v>3.72</v>
      </c>
      <c r="K13" s="68">
        <f>ROUND(J13*3417.5/1680,2)</f>
        <v>7.57</v>
      </c>
      <c r="L13" s="72">
        <v>3.87</v>
      </c>
      <c r="M13" s="68">
        <f>ROUND(L13*3417.5/1680,2)</f>
        <v>7.87</v>
      </c>
      <c r="N13" s="641"/>
      <c r="O13" s="68">
        <f>(J13+L13)/2*3417.5</f>
        <v>12969.4125</v>
      </c>
      <c r="P13" s="70"/>
      <c r="Q13" s="71"/>
      <c r="S13" s="61"/>
    </row>
    <row r="14" spans="2:19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35">
        <v>0.12</v>
      </c>
      <c r="K14" s="69"/>
      <c r="L14" s="72">
        <v>0.12</v>
      </c>
      <c r="M14" s="69"/>
      <c r="N14" s="641"/>
      <c r="O14" s="69"/>
      <c r="P14" s="70"/>
      <c r="Q14" s="70"/>
      <c r="S14" s="61"/>
    </row>
    <row r="15" spans="2:19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35">
        <v>2.89</v>
      </c>
      <c r="K15" s="69"/>
      <c r="L15" s="72">
        <v>3</v>
      </c>
      <c r="M15" s="69"/>
      <c r="N15" s="641"/>
      <c r="O15" s="69"/>
      <c r="P15" s="70"/>
      <c r="Q15" s="70"/>
      <c r="S15" s="61"/>
    </row>
    <row r="16" spans="2:19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  <c r="P16" s="70"/>
      <c r="Q16" s="70"/>
      <c r="S16" s="61"/>
    </row>
    <row r="17" spans="2:19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35">
        <v>0.1</v>
      </c>
      <c r="K17" s="24"/>
      <c r="L17" s="35">
        <v>0.1</v>
      </c>
      <c r="M17" s="24"/>
      <c r="N17" s="641"/>
      <c r="O17" s="24"/>
      <c r="S17" s="61"/>
    </row>
    <row r="18" spans="2:19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35">
        <v>2.37</v>
      </c>
      <c r="K18" s="24"/>
      <c r="L18" s="35">
        <v>2.46</v>
      </c>
      <c r="M18" s="24"/>
      <c r="N18" s="641"/>
      <c r="O18" s="24"/>
      <c r="S18" s="61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zoomScale="75" zoomScaleNormal="75" zoomScalePageLayoutView="0" workbookViewId="0" topLeftCell="H4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88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409</v>
      </c>
      <c r="H6" s="635">
        <v>0.22399999999999998</v>
      </c>
      <c r="I6" s="632" t="s">
        <v>384</v>
      </c>
      <c r="J6" s="35">
        <v>3.5</v>
      </c>
      <c r="K6" s="69"/>
      <c r="L6" s="72">
        <v>3.51</v>
      </c>
      <c r="M6" s="69"/>
      <c r="N6" s="641" t="s">
        <v>513</v>
      </c>
      <c r="O6" s="24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24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24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24"/>
    </row>
    <row r="10" spans="2:17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ROUND(J10*3397.6/750,2)</f>
        <v>9.11</v>
      </c>
      <c r="L10" s="72">
        <v>2.33</v>
      </c>
      <c r="M10" s="68">
        <f>ROUND(L10*3397.6/750,2)</f>
        <v>10.56</v>
      </c>
      <c r="N10" s="641"/>
      <c r="O10" s="68">
        <f>(J10+L10)/2*3397.6*2</f>
        <v>14745.583999999999</v>
      </c>
      <c r="Q10" s="61"/>
    </row>
    <row r="11" spans="2:17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ROUND(J11*3397.6/1570,2)</f>
        <v>4.93</v>
      </c>
      <c r="L11" s="72">
        <v>2.28</v>
      </c>
      <c r="M11" s="68">
        <f>ROUND(L11*3397.6/1570,2)</f>
        <v>4.93</v>
      </c>
      <c r="N11" s="641"/>
      <c r="O11" s="24"/>
      <c r="Q11" s="61"/>
    </row>
    <row r="12" spans="2:17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ROUND(J12*3397.6/400,2)</f>
        <v>11.47</v>
      </c>
      <c r="L12" s="72">
        <v>1.36</v>
      </c>
      <c r="M12" s="68">
        <f>ROUND(L12*3397.6/400,2)</f>
        <v>11.55</v>
      </c>
      <c r="N12" s="641"/>
      <c r="O12" s="24"/>
      <c r="Q12" s="61"/>
    </row>
    <row r="13" spans="2:17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ROUND(J13*3397.6/1680,2)</f>
        <v>7.52</v>
      </c>
      <c r="L13" s="72">
        <v>3.87</v>
      </c>
      <c r="M13" s="68">
        <f>ROUND(L13*3397.6/1680,2)</f>
        <v>7.83</v>
      </c>
      <c r="N13" s="641"/>
      <c r="O13" s="68">
        <f>(J13+L13)/2*3397.6</f>
        <v>12893.892</v>
      </c>
      <c r="Q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24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24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24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G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386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9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313</v>
      </c>
      <c r="H6" s="635">
        <v>0.22399999999999998</v>
      </c>
      <c r="I6" s="632" t="s">
        <v>314</v>
      </c>
      <c r="J6" s="35">
        <v>3.5</v>
      </c>
      <c r="K6" s="69"/>
      <c r="L6" s="72">
        <v>3.51</v>
      </c>
      <c r="M6" s="69"/>
      <c r="N6" s="641" t="s">
        <v>513</v>
      </c>
      <c r="O6" s="69"/>
      <c r="P6" s="70"/>
      <c r="Q6" s="70"/>
      <c r="R6" s="70"/>
      <c r="S6" s="70"/>
    </row>
    <row r="7" spans="2:19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  <c r="P7" s="70"/>
      <c r="Q7" s="70"/>
      <c r="R7" s="70"/>
      <c r="S7" s="70"/>
    </row>
    <row r="8" spans="2:19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  <c r="P8" s="70"/>
      <c r="Q8" s="70"/>
      <c r="R8" s="70"/>
      <c r="S8" s="70"/>
    </row>
    <row r="9" spans="2:19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  <c r="P9" s="70"/>
      <c r="Q9" s="70"/>
      <c r="R9" s="70"/>
      <c r="S9" s="70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ROUND(J10*2054.3/450,2)</f>
        <v>9.18</v>
      </c>
      <c r="L10" s="72">
        <v>2.33</v>
      </c>
      <c r="M10" s="68">
        <f>ROUND(L10*2054.3/450,2)</f>
        <v>10.64</v>
      </c>
      <c r="N10" s="641"/>
      <c r="O10" s="68">
        <f>(J10+L10)/2*2054.3*2</f>
        <v>8915.662</v>
      </c>
      <c r="P10" s="70"/>
      <c r="Q10" s="71"/>
      <c r="R10" s="70"/>
      <c r="S10" s="70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ROUND(J11*2054.3/894,2)</f>
        <v>5.24</v>
      </c>
      <c r="L11" s="72">
        <v>2.28</v>
      </c>
      <c r="M11" s="68">
        <f>ROUND(L11*2054.3/894,2)</f>
        <v>5.24</v>
      </c>
      <c r="N11" s="641"/>
      <c r="O11" s="24"/>
      <c r="P11" s="70"/>
      <c r="Q11" s="71"/>
      <c r="R11" s="70"/>
      <c r="S11" s="70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ROUND(J12*2054.3/240,2)</f>
        <v>11.56</v>
      </c>
      <c r="L12" s="72">
        <v>1.36</v>
      </c>
      <c r="M12" s="68">
        <f>ROUND(L12*2054.3/240,2)</f>
        <v>11.64</v>
      </c>
      <c r="N12" s="641"/>
      <c r="O12" s="24"/>
      <c r="P12" s="70"/>
      <c r="Q12" s="71"/>
      <c r="R12" s="70"/>
      <c r="S12" s="70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ROUND(J13*2054.3/1008,2)</f>
        <v>7.58</v>
      </c>
      <c r="L13" s="72">
        <v>3.87</v>
      </c>
      <c r="M13" s="68">
        <f>ROUND(L13*2054.3/1008,2)</f>
        <v>7.89</v>
      </c>
      <c r="N13" s="641"/>
      <c r="O13" s="68">
        <f>(J13+L13)/2*2054.3</f>
        <v>7796.0685</v>
      </c>
      <c r="P13" s="70"/>
      <c r="Q13" s="71"/>
      <c r="R13" s="70"/>
      <c r="S13" s="70"/>
    </row>
    <row r="14" spans="2:19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  <c r="P14" s="70"/>
      <c r="Q14" s="70"/>
      <c r="R14" s="70"/>
      <c r="S14" s="70"/>
    </row>
    <row r="15" spans="2:19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  <c r="P15" s="70"/>
      <c r="Q15" s="70"/>
      <c r="R15" s="70"/>
      <c r="S15" s="70"/>
    </row>
    <row r="16" spans="2:19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  <c r="P16" s="70"/>
      <c r="Q16" s="70"/>
      <c r="R16" s="70"/>
      <c r="S16" s="70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zoomScale="75" zoomScaleNormal="75" zoomScalePageLayoutView="0" workbookViewId="0" topLeftCell="L7">
      <selection activeCell="O10" sqref="O10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385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7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387</v>
      </c>
      <c r="H6" s="635">
        <v>0.22399999999999998</v>
      </c>
      <c r="I6" s="632" t="s">
        <v>388</v>
      </c>
      <c r="J6" s="35">
        <v>3.5</v>
      </c>
      <c r="K6" s="69"/>
      <c r="L6" s="72">
        <v>3.51</v>
      </c>
      <c r="M6" s="69"/>
      <c r="N6" s="641" t="s">
        <v>513</v>
      </c>
      <c r="O6" s="69"/>
      <c r="P6" s="70"/>
      <c r="Q6" s="70"/>
    </row>
    <row r="7" spans="2:17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  <c r="P7" s="70"/>
      <c r="Q7" s="70"/>
    </row>
    <row r="8" spans="2:17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  <c r="P8" s="70"/>
      <c r="Q8" s="70"/>
    </row>
    <row r="9" spans="2:17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  <c r="P9" s="70"/>
      <c r="Q9" s="70"/>
    </row>
    <row r="10" spans="2:17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ROUND(J10*3422.1/750,2)</f>
        <v>9.17</v>
      </c>
      <c r="L10" s="72">
        <v>2.33</v>
      </c>
      <c r="M10" s="68">
        <f>ROUND(L10*3422.1/750,2)</f>
        <v>10.63</v>
      </c>
      <c r="N10" s="641"/>
      <c r="O10" s="68">
        <f>(J10+L10)/2*3422.1*2</f>
        <v>14851.913999999999</v>
      </c>
      <c r="P10" s="70"/>
      <c r="Q10" s="71"/>
    </row>
    <row r="11" spans="2:17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ROUND(J11*3422.1/1570,2)</f>
        <v>4.97</v>
      </c>
      <c r="L11" s="72">
        <v>2.28</v>
      </c>
      <c r="M11" s="68">
        <f>ROUND(L11*3422.1/1570,2)</f>
        <v>4.97</v>
      </c>
      <c r="N11" s="641"/>
      <c r="O11" s="24"/>
      <c r="P11" s="70"/>
      <c r="Q11" s="71"/>
    </row>
    <row r="12" spans="2:17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ROUND(J12*3422.1/400,2)</f>
        <v>11.55</v>
      </c>
      <c r="L12" s="72">
        <v>1.36</v>
      </c>
      <c r="M12" s="68">
        <f>ROUND(L12*3422.1/400,2)</f>
        <v>11.64</v>
      </c>
      <c r="N12" s="641"/>
      <c r="O12" s="24"/>
      <c r="P12" s="70"/>
      <c r="Q12" s="71"/>
    </row>
    <row r="13" spans="2:17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ROUND(J13*3422.1/1680,2)</f>
        <v>7.58</v>
      </c>
      <c r="L13" s="72">
        <v>3.87</v>
      </c>
      <c r="M13" s="68">
        <f>ROUND(L13*3422.1/1680,2)</f>
        <v>7.88</v>
      </c>
      <c r="N13" s="641"/>
      <c r="O13" s="68">
        <f>(J13+L13)/2*3422.1</f>
        <v>12986.869499999999</v>
      </c>
      <c r="P13" s="70"/>
      <c r="Q13" s="71"/>
    </row>
    <row r="14" spans="2:17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  <c r="P14" s="70"/>
      <c r="Q14" s="70"/>
    </row>
    <row r="15" spans="2:17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  <c r="P15" s="70"/>
      <c r="Q15" s="70"/>
    </row>
    <row r="16" spans="2:17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  <c r="P16" s="70"/>
      <c r="Q16" s="70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zoomScale="75" zoomScaleNormal="75" zoomScalePageLayoutView="0" workbookViewId="0" topLeftCell="F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389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7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398</v>
      </c>
      <c r="H6" s="635">
        <v>0.248</v>
      </c>
      <c r="I6" s="632" t="s">
        <v>399</v>
      </c>
      <c r="J6" s="35">
        <v>3.5</v>
      </c>
      <c r="K6" s="69"/>
      <c r="L6" s="72">
        <v>3.51</v>
      </c>
      <c r="M6" s="69"/>
      <c r="N6" s="641" t="s">
        <v>513</v>
      </c>
      <c r="O6" s="69"/>
      <c r="P6" s="70"/>
      <c r="Q6" s="70"/>
    </row>
    <row r="7" spans="2:17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  <c r="P7" s="70"/>
      <c r="Q7" s="70"/>
    </row>
    <row r="8" spans="2:17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  <c r="P8" s="70"/>
      <c r="Q8" s="70"/>
    </row>
    <row r="9" spans="2:17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  <c r="P9" s="70"/>
      <c r="Q9" s="70"/>
    </row>
    <row r="10" spans="2:17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ROUND(J10*725.9/300,2)</f>
        <v>4.86</v>
      </c>
      <c r="L10" s="72">
        <v>2.33</v>
      </c>
      <c r="M10" s="68">
        <f>ROUND(L10*725.9/300,2)</f>
        <v>5.64</v>
      </c>
      <c r="N10" s="641"/>
      <c r="O10" s="68">
        <f>(J10+L10)/2*725.9*2</f>
        <v>3150.406</v>
      </c>
      <c r="P10" s="70"/>
      <c r="Q10" s="71"/>
    </row>
    <row r="11" spans="2:17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ROUND(J11*725.9/270,2)</f>
        <v>6.13</v>
      </c>
      <c r="L11" s="72">
        <v>2.28</v>
      </c>
      <c r="M11" s="68">
        <f>ROUND(L11*725.9/270,2)</f>
        <v>6.13</v>
      </c>
      <c r="N11" s="641"/>
      <c r="O11" s="24"/>
      <c r="P11" s="70"/>
      <c r="Q11" s="71"/>
    </row>
    <row r="12" spans="2:17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ROUND(J12*725.9/1806,2)</f>
        <v>0.54</v>
      </c>
      <c r="L12" s="72">
        <v>1.36</v>
      </c>
      <c r="M12" s="68">
        <f>ROUND(L12*725.9/1806,2)</f>
        <v>0.55</v>
      </c>
      <c r="N12" s="641"/>
      <c r="O12" s="24"/>
      <c r="P12" s="70"/>
      <c r="Q12" s="71"/>
    </row>
    <row r="13" spans="2:17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ROUND(J13*725.9/480,2)</f>
        <v>5.63</v>
      </c>
      <c r="L13" s="72">
        <v>3.87</v>
      </c>
      <c r="M13" s="68">
        <f>ROUND(L13*725.9/480,2)</f>
        <v>5.85</v>
      </c>
      <c r="N13" s="641"/>
      <c r="O13" s="68">
        <f>(J13+L13)/2*725.9</f>
        <v>2754.7905</v>
      </c>
      <c r="P13" s="70"/>
      <c r="Q13" s="71"/>
    </row>
    <row r="14" spans="2:17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  <c r="P14" s="70"/>
      <c r="Q14" s="70"/>
    </row>
    <row r="15" spans="2:17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  <c r="P15" s="70"/>
      <c r="Q15" s="70"/>
    </row>
    <row r="16" spans="2:17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  <c r="P16" s="70"/>
      <c r="Q16" s="70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zoomScale="75" zoomScaleNormal="75" zoomScalePageLayoutView="0" workbookViewId="0" topLeftCell="F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400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8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101</v>
      </c>
      <c r="H6" s="635">
        <v>0.21600000000000003</v>
      </c>
      <c r="I6" s="632" t="s">
        <v>102</v>
      </c>
      <c r="J6" s="35">
        <v>3.5</v>
      </c>
      <c r="K6" s="69"/>
      <c r="L6" s="72">
        <v>3.51</v>
      </c>
      <c r="M6" s="69"/>
      <c r="N6" s="641" t="s">
        <v>513</v>
      </c>
      <c r="O6" s="69"/>
      <c r="P6" s="70"/>
      <c r="Q6" s="70"/>
      <c r="R6" s="70"/>
    </row>
    <row r="7" spans="2:18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  <c r="P7" s="70"/>
      <c r="Q7" s="70"/>
      <c r="R7" s="70"/>
    </row>
    <row r="8" spans="2:18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  <c r="P8" s="70"/>
      <c r="Q8" s="70"/>
      <c r="R8" s="70"/>
    </row>
    <row r="9" spans="2:18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  <c r="P9" s="70"/>
      <c r="Q9" s="70"/>
      <c r="R9" s="70"/>
    </row>
    <row r="10" spans="2:18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ROUND(J10*3439.4/750,2)</f>
        <v>9.22</v>
      </c>
      <c r="L10" s="72">
        <v>2.33</v>
      </c>
      <c r="M10" s="68">
        <f>ROUND(L10*3439.4/750,2)</f>
        <v>10.69</v>
      </c>
      <c r="N10" s="641"/>
      <c r="O10" s="68">
        <f>(J10+L10)/2*3439.4*2</f>
        <v>14926.996</v>
      </c>
      <c r="P10" s="70"/>
      <c r="Q10" s="71"/>
      <c r="R10" s="70"/>
    </row>
    <row r="11" spans="2:18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ROUND(J11*3439.4/1570,2)</f>
        <v>4.99</v>
      </c>
      <c r="L11" s="72">
        <v>2.28</v>
      </c>
      <c r="M11" s="68">
        <f>ROUND(L11*3439.4/1570,2)</f>
        <v>4.99</v>
      </c>
      <c r="N11" s="641"/>
      <c r="O11" s="24"/>
      <c r="P11" s="70"/>
      <c r="Q11" s="71"/>
      <c r="R11" s="70"/>
    </row>
    <row r="12" spans="2:18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ROUND(J12*3439.4/400,2)</f>
        <v>11.61</v>
      </c>
      <c r="L12" s="72">
        <v>1.36</v>
      </c>
      <c r="M12" s="68">
        <f>ROUND(L12*3439.4/400,2)</f>
        <v>11.69</v>
      </c>
      <c r="N12" s="641"/>
      <c r="O12" s="24"/>
      <c r="P12" s="70"/>
      <c r="Q12" s="71"/>
      <c r="R12" s="70"/>
    </row>
    <row r="13" spans="2:18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ROUND(J13*3439.4/1680,2)</f>
        <v>7.62</v>
      </c>
      <c r="L13" s="72">
        <v>3.87</v>
      </c>
      <c r="M13" s="68">
        <f>ROUND(L13*3439.4/1680,2)</f>
        <v>7.92</v>
      </c>
      <c r="N13" s="641"/>
      <c r="O13" s="68">
        <f>(J13+L13)/2*3439.4</f>
        <v>13052.523</v>
      </c>
      <c r="P13" s="70"/>
      <c r="Q13" s="71"/>
      <c r="R13" s="70"/>
    </row>
    <row r="14" spans="2:18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  <c r="P14" s="70"/>
      <c r="Q14" s="70"/>
      <c r="R14" s="70"/>
    </row>
    <row r="15" spans="2:18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  <c r="P15" s="70"/>
      <c r="Q15" s="70"/>
      <c r="R15" s="70"/>
    </row>
    <row r="16" spans="2:18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  <c r="P16" s="70"/>
      <c r="Q16" s="70"/>
      <c r="R16" s="70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F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103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405</v>
      </c>
      <c r="H6" s="635">
        <v>0.248</v>
      </c>
      <c r="I6" s="632" t="s">
        <v>406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ROUND(J10*2067.4/450,2)</f>
        <v>9.23</v>
      </c>
      <c r="L10" s="72">
        <v>2.33</v>
      </c>
      <c r="M10" s="68">
        <f>ROUND(L10*2067.4/450,2)</f>
        <v>10.7</v>
      </c>
      <c r="N10" s="641"/>
      <c r="O10" s="68">
        <f>(J10+L10)/2*2067.4*2</f>
        <v>8972.516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ROUND(J11*2067.4/894,2)</f>
        <v>5.27</v>
      </c>
      <c r="L11" s="72">
        <v>2.28</v>
      </c>
      <c r="M11" s="68">
        <f>ROUND(L11*2067.4/894,2)</f>
        <v>5.27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ROUND(J12*2067.4/240,2)</f>
        <v>11.63</v>
      </c>
      <c r="L12" s="72">
        <v>1.36</v>
      </c>
      <c r="M12" s="68">
        <f>ROUND(L12*2067.4/240,2)</f>
        <v>11.72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ROUND(J13*2067.4/1008,2)</f>
        <v>7.63</v>
      </c>
      <c r="L13" s="72">
        <v>3.87</v>
      </c>
      <c r="M13" s="68">
        <f>ROUND(L13*2067.4/1008,2)</f>
        <v>7.94</v>
      </c>
      <c r="N13" s="641"/>
      <c r="O13" s="68">
        <f>(J13+L13)/2*2067.4</f>
        <v>7845.783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F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407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8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3</v>
      </c>
      <c r="H6" s="635">
        <v>0.21600000000000003</v>
      </c>
      <c r="I6" s="632" t="s">
        <v>60</v>
      </c>
      <c r="J6" s="35">
        <v>3.5</v>
      </c>
      <c r="K6" s="69"/>
      <c r="L6" s="72">
        <v>3.51</v>
      </c>
      <c r="M6" s="69"/>
      <c r="N6" s="641" t="s">
        <v>513</v>
      </c>
      <c r="O6" s="69"/>
      <c r="P6" s="70"/>
      <c r="Q6" s="70"/>
      <c r="R6" s="70"/>
    </row>
    <row r="7" spans="2:18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  <c r="P7" s="70"/>
      <c r="Q7" s="70"/>
      <c r="R7" s="70"/>
    </row>
    <row r="8" spans="2:18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  <c r="P8" s="70"/>
      <c r="Q8" s="70"/>
      <c r="R8" s="70"/>
    </row>
    <row r="9" spans="2:18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  <c r="P9" s="70"/>
      <c r="Q9" s="70"/>
      <c r="R9" s="70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ROUND(J10*2105.5/450,2)</f>
        <v>9.4</v>
      </c>
      <c r="L10" s="72">
        <v>2.33</v>
      </c>
      <c r="M10" s="68">
        <f>ROUND(L10*2105.5/450,2)</f>
        <v>10.9</v>
      </c>
      <c r="N10" s="641"/>
      <c r="O10" s="68">
        <f>(J10+L10)/2*2105.5*2</f>
        <v>9137.869999999999</v>
      </c>
      <c r="P10" s="70"/>
      <c r="Q10" s="71"/>
      <c r="R10" s="70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ROUND(J11*2105.5/894,2)</f>
        <v>5.37</v>
      </c>
      <c r="L11" s="72">
        <v>2.28</v>
      </c>
      <c r="M11" s="68">
        <f>ROUND(L11*2105.5/894,2)</f>
        <v>5.37</v>
      </c>
      <c r="N11" s="641"/>
      <c r="O11" s="24"/>
      <c r="P11" s="70"/>
      <c r="Q11" s="71"/>
      <c r="R11" s="70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ROUND(J12*2105.5/240,2)</f>
        <v>11.84</v>
      </c>
      <c r="L12" s="72">
        <v>1.36</v>
      </c>
      <c r="M12" s="68">
        <f>ROUND(L12*2105.5/240,2)</f>
        <v>11.93</v>
      </c>
      <c r="N12" s="641"/>
      <c r="O12" s="24"/>
      <c r="P12" s="70"/>
      <c r="Q12" s="71"/>
      <c r="R12" s="70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ROUND(J13*2105.5/1008,2)</f>
        <v>7.77</v>
      </c>
      <c r="L13" s="72">
        <v>3.87</v>
      </c>
      <c r="M13" s="68">
        <f>ROUND(L13*2105.5/1008,2)</f>
        <v>8.08</v>
      </c>
      <c r="N13" s="641"/>
      <c r="O13" s="68">
        <f>(J13+L13)/2*2105.5</f>
        <v>7990.3724999999995</v>
      </c>
      <c r="P13" s="70"/>
      <c r="Q13" s="71"/>
      <c r="R13" s="70"/>
      <c r="S13" s="61"/>
    </row>
    <row r="14" spans="2:18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  <c r="P14" s="70"/>
      <c r="Q14" s="70"/>
      <c r="R14" s="70"/>
    </row>
    <row r="15" spans="2:18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  <c r="P15" s="70"/>
      <c r="Q15" s="70"/>
      <c r="R15" s="70"/>
    </row>
    <row r="16" spans="2:18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  <c r="P16" s="70"/>
      <c r="Q16" s="70"/>
      <c r="R16" s="70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35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zoomScalePageLayoutView="0" workbookViewId="0" topLeftCell="B4">
      <selection activeCell="I16" sqref="I16"/>
    </sheetView>
  </sheetViews>
  <sheetFormatPr defaultColWidth="9.00390625" defaultRowHeight="15.75"/>
  <cols>
    <col min="1" max="1" width="3.75390625" style="0" customWidth="1"/>
    <col min="2" max="2" width="5.125" style="0" customWidth="1"/>
    <col min="8" max="8" width="18.125" style="0" customWidth="1"/>
    <col min="9" max="9" width="23.25390625" style="0" customWidth="1"/>
    <col min="10" max="10" width="38.875" style="0" customWidth="1"/>
  </cols>
  <sheetData>
    <row r="1" ht="15">
      <c r="J1" s="11" t="s">
        <v>845</v>
      </c>
    </row>
    <row r="3" spans="2:10" ht="40.5" customHeight="1">
      <c r="B3" s="498" t="s">
        <v>141</v>
      </c>
      <c r="C3" s="487"/>
      <c r="D3" s="487"/>
      <c r="E3" s="487"/>
      <c r="F3" s="487"/>
      <c r="G3" s="487"/>
      <c r="H3" s="487"/>
      <c r="I3" s="487"/>
      <c r="J3" s="488"/>
    </row>
    <row r="4" spans="2:10" ht="129.75" customHeight="1">
      <c r="B4" s="9" t="s">
        <v>138</v>
      </c>
      <c r="C4" s="499" t="s">
        <v>168</v>
      </c>
      <c r="D4" s="499"/>
      <c r="E4" s="499"/>
      <c r="F4" s="499" t="s">
        <v>169</v>
      </c>
      <c r="G4" s="499"/>
      <c r="H4" s="9" t="s">
        <v>170</v>
      </c>
      <c r="I4" s="9" t="s">
        <v>171</v>
      </c>
      <c r="J4" s="10" t="s">
        <v>172</v>
      </c>
    </row>
    <row r="5" spans="2:10" ht="15">
      <c r="B5" s="37">
        <v>1</v>
      </c>
      <c r="C5" s="493">
        <v>2</v>
      </c>
      <c r="D5" s="500"/>
      <c r="E5" s="494"/>
      <c r="F5" s="493">
        <v>3</v>
      </c>
      <c r="G5" s="494"/>
      <c r="H5" s="37">
        <v>4</v>
      </c>
      <c r="I5" s="37">
        <v>5</v>
      </c>
      <c r="J5" s="37">
        <v>6</v>
      </c>
    </row>
    <row r="6" spans="2:10" ht="69" customHeight="1">
      <c r="B6" s="75" t="s">
        <v>40</v>
      </c>
      <c r="C6" s="495" t="s">
        <v>90</v>
      </c>
      <c r="D6" s="501"/>
      <c r="E6" s="496"/>
      <c r="F6" s="495" t="s">
        <v>92</v>
      </c>
      <c r="G6" s="496"/>
      <c r="H6" s="76" t="s">
        <v>91</v>
      </c>
      <c r="I6" s="76" t="s">
        <v>93</v>
      </c>
      <c r="J6" s="40" t="s">
        <v>94</v>
      </c>
    </row>
    <row r="7" spans="2:11" ht="15">
      <c r="B7" s="39"/>
      <c r="C7" s="497"/>
      <c r="D7" s="497"/>
      <c r="E7" s="497"/>
      <c r="F7" s="497"/>
      <c r="G7" s="497"/>
      <c r="H7" s="39"/>
      <c r="I7" s="39"/>
      <c r="J7" s="39"/>
      <c r="K7" s="1"/>
    </row>
    <row r="8" spans="2:11" ht="15">
      <c r="B8" s="28"/>
      <c r="C8" s="492"/>
      <c r="D8" s="492"/>
      <c r="E8" s="492"/>
      <c r="F8" s="492"/>
      <c r="G8" s="492"/>
      <c r="H8" s="28"/>
      <c r="I8" s="28"/>
      <c r="J8" s="28"/>
      <c r="K8" s="1"/>
    </row>
    <row r="9" spans="2:11" ht="15">
      <c r="B9" s="28"/>
      <c r="C9" s="492"/>
      <c r="D9" s="492"/>
      <c r="E9" s="492"/>
      <c r="F9" s="492"/>
      <c r="G9" s="492"/>
      <c r="H9" s="28"/>
      <c r="I9" s="28"/>
      <c r="J9" s="28"/>
      <c r="K9" s="1"/>
    </row>
    <row r="10" spans="2:11" ht="15">
      <c r="B10" s="28"/>
      <c r="C10" s="492"/>
      <c r="D10" s="492"/>
      <c r="E10" s="492"/>
      <c r="F10" s="492"/>
      <c r="G10" s="492"/>
      <c r="H10" s="28"/>
      <c r="I10" s="28"/>
      <c r="J10" s="28"/>
      <c r="K10" s="1"/>
    </row>
    <row r="11" spans="2:11" ht="15">
      <c r="B11" s="28"/>
      <c r="C11" s="492"/>
      <c r="D11" s="492"/>
      <c r="E11" s="492"/>
      <c r="F11" s="492"/>
      <c r="G11" s="492"/>
      <c r="H11" s="28"/>
      <c r="I11" s="28"/>
      <c r="J11" s="28"/>
      <c r="K11" s="1"/>
    </row>
    <row r="12" spans="2:11" ht="15">
      <c r="B12" s="28"/>
      <c r="C12" s="492"/>
      <c r="D12" s="492"/>
      <c r="E12" s="492"/>
      <c r="F12" s="492"/>
      <c r="G12" s="492"/>
      <c r="H12" s="28"/>
      <c r="I12" s="28"/>
      <c r="J12" s="28"/>
      <c r="K12" s="1"/>
    </row>
    <row r="13" spans="2:11" ht="15">
      <c r="B13" s="28"/>
      <c r="C13" s="492"/>
      <c r="D13" s="492"/>
      <c r="E13" s="492"/>
      <c r="F13" s="492"/>
      <c r="G13" s="492"/>
      <c r="H13" s="28"/>
      <c r="I13" s="28"/>
      <c r="J13" s="28"/>
      <c r="K13" s="1"/>
    </row>
    <row r="14" spans="2:11" ht="15">
      <c r="B14" s="28"/>
      <c r="C14" s="492"/>
      <c r="D14" s="492"/>
      <c r="E14" s="492"/>
      <c r="F14" s="492"/>
      <c r="G14" s="492"/>
      <c r="H14" s="28"/>
      <c r="I14" s="28"/>
      <c r="J14" s="28"/>
      <c r="K14" s="1"/>
    </row>
    <row r="15" spans="2:11" ht="15">
      <c r="B15" s="28"/>
      <c r="C15" s="492"/>
      <c r="D15" s="492"/>
      <c r="E15" s="492"/>
      <c r="F15" s="492"/>
      <c r="G15" s="492"/>
      <c r="H15" s="28"/>
      <c r="I15" s="28"/>
      <c r="J15" s="28"/>
      <c r="K15" s="1"/>
    </row>
    <row r="16" spans="2:11" ht="15">
      <c r="B16" s="28"/>
      <c r="C16" s="492"/>
      <c r="D16" s="492"/>
      <c r="E16" s="492"/>
      <c r="F16" s="492"/>
      <c r="G16" s="492"/>
      <c r="H16" s="28"/>
      <c r="I16" s="28"/>
      <c r="J16" s="28"/>
      <c r="K16" s="1"/>
    </row>
    <row r="17" spans="2:11" ht="15">
      <c r="B17" s="28"/>
      <c r="C17" s="492"/>
      <c r="D17" s="492"/>
      <c r="E17" s="492"/>
      <c r="F17" s="492"/>
      <c r="G17" s="492"/>
      <c r="H17" s="28"/>
      <c r="I17" s="28"/>
      <c r="J17" s="28"/>
      <c r="K17" s="1"/>
    </row>
    <row r="18" spans="2:11" ht="15">
      <c r="B18" s="28"/>
      <c r="C18" s="492"/>
      <c r="D18" s="492"/>
      <c r="E18" s="492"/>
      <c r="F18" s="492"/>
      <c r="G18" s="492"/>
      <c r="H18" s="28"/>
      <c r="I18" s="28"/>
      <c r="J18" s="28"/>
      <c r="K18" s="1"/>
    </row>
    <row r="19" spans="2:11" ht="15">
      <c r="B19" s="28"/>
      <c r="C19" s="492"/>
      <c r="D19" s="492"/>
      <c r="E19" s="492"/>
      <c r="F19" s="492"/>
      <c r="G19" s="492"/>
      <c r="H19" s="28"/>
      <c r="I19" s="28"/>
      <c r="J19" s="28"/>
      <c r="K19" s="1"/>
    </row>
    <row r="20" spans="2:11" ht="15">
      <c r="B20" s="28"/>
      <c r="C20" s="492"/>
      <c r="D20" s="492"/>
      <c r="E20" s="492"/>
      <c r="F20" s="492"/>
      <c r="G20" s="492"/>
      <c r="H20" s="28"/>
      <c r="I20" s="28"/>
      <c r="J20" s="28"/>
      <c r="K20" s="1"/>
    </row>
    <row r="21" spans="2:11" ht="15">
      <c r="B21" s="28"/>
      <c r="C21" s="492"/>
      <c r="D21" s="492"/>
      <c r="E21" s="492"/>
      <c r="F21" s="492"/>
      <c r="G21" s="492"/>
      <c r="H21" s="28"/>
      <c r="I21" s="28"/>
      <c r="J21" s="28"/>
      <c r="K21" s="1"/>
    </row>
    <row r="22" spans="2:11" ht="15">
      <c r="B22" s="28"/>
      <c r="C22" s="492"/>
      <c r="D22" s="492"/>
      <c r="E22" s="492"/>
      <c r="F22" s="492"/>
      <c r="G22" s="492"/>
      <c r="H22" s="28"/>
      <c r="I22" s="28"/>
      <c r="J22" s="28"/>
      <c r="K22" s="1"/>
    </row>
    <row r="23" spans="2:11" ht="15">
      <c r="B23" s="28"/>
      <c r="C23" s="492"/>
      <c r="D23" s="492"/>
      <c r="E23" s="492"/>
      <c r="F23" s="492"/>
      <c r="G23" s="492"/>
      <c r="H23" s="28"/>
      <c r="I23" s="28"/>
      <c r="J23" s="28"/>
      <c r="K23" s="1"/>
    </row>
    <row r="24" spans="2:11" ht="15">
      <c r="B24" s="28"/>
      <c r="C24" s="492"/>
      <c r="D24" s="492"/>
      <c r="E24" s="492"/>
      <c r="F24" s="492"/>
      <c r="G24" s="492"/>
      <c r="H24" s="28"/>
      <c r="I24" s="28"/>
      <c r="J24" s="28"/>
      <c r="K24" s="1"/>
    </row>
    <row r="25" spans="2:11" ht="15">
      <c r="B25" s="28"/>
      <c r="C25" s="492"/>
      <c r="D25" s="492"/>
      <c r="E25" s="492"/>
      <c r="F25" s="492"/>
      <c r="G25" s="492"/>
      <c r="H25" s="28"/>
      <c r="I25" s="28"/>
      <c r="J25" s="28"/>
      <c r="K25" s="1"/>
    </row>
    <row r="26" spans="2:11" ht="15">
      <c r="B26" s="28"/>
      <c r="C26" s="492"/>
      <c r="D26" s="492"/>
      <c r="E26" s="492"/>
      <c r="F26" s="492"/>
      <c r="G26" s="492"/>
      <c r="H26" s="28"/>
      <c r="I26" s="28"/>
      <c r="J26" s="28"/>
      <c r="K26" s="1"/>
    </row>
    <row r="27" spans="2:11" ht="15"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47">
    <mergeCell ref="C9:E9"/>
    <mergeCell ref="B3:J3"/>
    <mergeCell ref="C4:E4"/>
    <mergeCell ref="F4:G4"/>
    <mergeCell ref="C5:E5"/>
    <mergeCell ref="C6:E6"/>
    <mergeCell ref="C7:E7"/>
    <mergeCell ref="C8:E8"/>
    <mergeCell ref="F9:G9"/>
    <mergeCell ref="C10:E10"/>
    <mergeCell ref="C11:E11"/>
    <mergeCell ref="C12:E12"/>
    <mergeCell ref="C13:E13"/>
    <mergeCell ref="C26:E26"/>
    <mergeCell ref="F5:G5"/>
    <mergeCell ref="F6:G6"/>
    <mergeCell ref="F7:G7"/>
    <mergeCell ref="F8:G8"/>
    <mergeCell ref="C16:E16"/>
    <mergeCell ref="C17:E17"/>
    <mergeCell ref="C18:E18"/>
    <mergeCell ref="C19:E19"/>
    <mergeCell ref="F24:G24"/>
    <mergeCell ref="F25:G25"/>
    <mergeCell ref="F14:G14"/>
    <mergeCell ref="C22:E22"/>
    <mergeCell ref="C23:E23"/>
    <mergeCell ref="C24:E24"/>
    <mergeCell ref="C25:E25"/>
    <mergeCell ref="C14:E14"/>
    <mergeCell ref="C15:E15"/>
    <mergeCell ref="C20:E20"/>
    <mergeCell ref="C21:E2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10:G10"/>
    <mergeCell ref="F11:G11"/>
    <mergeCell ref="F12:G12"/>
    <mergeCell ref="F13:G13"/>
  </mergeCells>
  <hyperlinks>
    <hyperlink ref="J6" r:id="rId1" display="ensavtec@yandex.ru"/>
  </hyperlinks>
  <printOptions/>
  <pageMargins left="0.9055118110236221" right="0.5118110236220472" top="0.5511811023622047" bottom="0.5511811023622047" header="0.31496062992125984" footer="0.31496062992125984"/>
  <pageSetup fitToHeight="0" fitToWidth="1" horizontalDpi="600" verticalDpi="600" orientation="landscape" paperSize="9" scale="91"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G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61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9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62</v>
      </c>
      <c r="H6" s="635">
        <v>0.24</v>
      </c>
      <c r="I6" s="632" t="s">
        <v>63</v>
      </c>
      <c r="J6" s="35">
        <v>3.5</v>
      </c>
      <c r="K6" s="69"/>
      <c r="L6" s="72">
        <v>3.51</v>
      </c>
      <c r="M6" s="69"/>
      <c r="N6" s="641" t="s">
        <v>513</v>
      </c>
      <c r="O6" s="69"/>
      <c r="P6" s="70"/>
      <c r="Q6" s="70"/>
      <c r="R6" s="70"/>
      <c r="S6" s="70"/>
    </row>
    <row r="7" spans="2:19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  <c r="P7" s="70"/>
      <c r="Q7" s="70"/>
      <c r="R7" s="70"/>
      <c r="S7" s="70"/>
    </row>
    <row r="8" spans="2:19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  <c r="P8" s="70"/>
      <c r="Q8" s="70"/>
      <c r="R8" s="70"/>
      <c r="S8" s="70"/>
    </row>
    <row r="9" spans="2:19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  <c r="P9" s="70"/>
      <c r="Q9" s="70"/>
      <c r="R9" s="70"/>
      <c r="S9" s="70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ROUND(J10*3458.5/970,2)</f>
        <v>7.17</v>
      </c>
      <c r="L10" s="72">
        <v>2.33</v>
      </c>
      <c r="M10" s="68">
        <f>ROUND(L10*3458.5/970,2)</f>
        <v>8.31</v>
      </c>
      <c r="N10" s="641"/>
      <c r="O10" s="68">
        <f>(J10+L10)/2*3458.5*2</f>
        <v>15009.89</v>
      </c>
      <c r="P10" s="70"/>
      <c r="Q10" s="71"/>
      <c r="R10" s="70"/>
      <c r="S10" s="7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ROUND(J11*3458.5/1570,2)</f>
        <v>5.02</v>
      </c>
      <c r="L11" s="72">
        <v>2.28</v>
      </c>
      <c r="M11" s="68">
        <f>ROUND(L11*3458.5/1570,2)</f>
        <v>5.02</v>
      </c>
      <c r="N11" s="641"/>
      <c r="O11" s="24"/>
      <c r="P11" s="70"/>
      <c r="Q11" s="71"/>
      <c r="R11" s="70"/>
      <c r="S11" s="7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ROUND(J12*3458.5/508,2)</f>
        <v>9.19</v>
      </c>
      <c r="L12" s="72">
        <v>1.36</v>
      </c>
      <c r="M12" s="68">
        <f>ROUND(L12*3458.5/508,2)</f>
        <v>9.26</v>
      </c>
      <c r="N12" s="641"/>
      <c r="O12" s="24"/>
      <c r="P12" s="70"/>
      <c r="Q12" s="71"/>
      <c r="R12" s="70"/>
      <c r="S12" s="7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ROUND(J13*3458.5/1680,2)</f>
        <v>7.66</v>
      </c>
      <c r="L13" s="72">
        <v>3.87</v>
      </c>
      <c r="M13" s="68">
        <f>ROUND(L13*3458.5/1680,2)</f>
        <v>7.97</v>
      </c>
      <c r="N13" s="641"/>
      <c r="O13" s="68">
        <f>(J13+L13)/2*3458.5</f>
        <v>13125.0075</v>
      </c>
      <c r="P13" s="70"/>
      <c r="Q13" s="71"/>
      <c r="R13" s="70"/>
      <c r="S13" s="71"/>
    </row>
    <row r="14" spans="2:19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  <c r="P14" s="70"/>
      <c r="Q14" s="70"/>
      <c r="R14" s="70"/>
      <c r="S14" s="70"/>
    </row>
    <row r="15" spans="2:19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  <c r="P15" s="70"/>
      <c r="Q15" s="70"/>
      <c r="R15" s="70"/>
      <c r="S15" s="70"/>
    </row>
    <row r="16" spans="2:19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  <c r="P16" s="70"/>
      <c r="Q16" s="70"/>
      <c r="R16" s="70"/>
      <c r="S16" s="70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35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I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64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211</v>
      </c>
      <c r="H6" s="635">
        <v>0.20800000000000002</v>
      </c>
      <c r="I6" s="632" t="s">
        <v>68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ROUND(J10*2096.2/450,2)</f>
        <v>9.36</v>
      </c>
      <c r="L10" s="72">
        <v>2.33</v>
      </c>
      <c r="M10" s="68">
        <f>ROUND(L10*2096.2/450,2)</f>
        <v>10.85</v>
      </c>
      <c r="N10" s="641"/>
      <c r="O10" s="68">
        <f>(J10+L10)/2*2096.2*2</f>
        <v>9097.508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ROUND(J11*2096.2/894,2)</f>
        <v>5.35</v>
      </c>
      <c r="L11" s="72">
        <v>2.28</v>
      </c>
      <c r="M11" s="68">
        <f>ROUND(L11*2096.2/894,2)</f>
        <v>5.35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ROUND(J12*2096.2/240,2)</f>
        <v>11.79</v>
      </c>
      <c r="L12" s="72">
        <v>1.36</v>
      </c>
      <c r="M12" s="68">
        <f>ROUND(L12*2096.2/240,2)</f>
        <v>11.88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ROUND(J13*2096.2/1008,2)</f>
        <v>7.74</v>
      </c>
      <c r="L13" s="72">
        <v>3.87</v>
      </c>
      <c r="M13" s="68">
        <f>ROUND(L13*2096.2/1008,2)</f>
        <v>8.05</v>
      </c>
      <c r="N13" s="641"/>
      <c r="O13" s="68">
        <f>(J13+L13)/2*2096.2</f>
        <v>7955.078999999999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H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69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380</v>
      </c>
      <c r="H6" s="635">
        <v>0.24</v>
      </c>
      <c r="I6" s="632" t="s">
        <v>399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ROUND(J10*722.4/300,2)</f>
        <v>4.84</v>
      </c>
      <c r="L10" s="72">
        <v>2.33</v>
      </c>
      <c r="M10" s="68">
        <f>ROUND(L10*722.4/300,2)</f>
        <v>5.61</v>
      </c>
      <c r="N10" s="641"/>
      <c r="O10" s="68">
        <f>(J10+L10)/2*722.4*2</f>
        <v>3135.216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ROUND(J11*722.4/270,2)</f>
        <v>6.1</v>
      </c>
      <c r="L11" s="72">
        <v>2.28</v>
      </c>
      <c r="M11" s="68">
        <f>ROUND(L11*722.4/270,2)</f>
        <v>6.1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ROUND(J12*722.4/180,2)</f>
        <v>5.42</v>
      </c>
      <c r="L12" s="72">
        <v>1.36</v>
      </c>
      <c r="M12" s="68">
        <f>ROUND(L12*722.4/180,2)</f>
        <v>5.46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ROUND(J13*722.4/480,2)</f>
        <v>5.6</v>
      </c>
      <c r="L13" s="72">
        <v>3.87</v>
      </c>
      <c r="M13" s="68">
        <f>ROUND(L13*722.4/480,2)</f>
        <v>5.82</v>
      </c>
      <c r="N13" s="641"/>
      <c r="O13" s="68">
        <f>(J13+L13)/2*722.4</f>
        <v>2741.508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H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381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194</v>
      </c>
      <c r="H6" s="635">
        <v>0.20800000000000002</v>
      </c>
      <c r="I6" s="632" t="s">
        <v>54</v>
      </c>
      <c r="J6" s="35">
        <v>3.5</v>
      </c>
      <c r="K6" s="69"/>
      <c r="L6" s="72">
        <v>3.51</v>
      </c>
      <c r="M6" s="69"/>
      <c r="N6" s="641" t="s">
        <v>513</v>
      </c>
      <c r="O6" s="24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24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24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24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ROUND(J10*1379.2/450,2)</f>
        <v>6.16</v>
      </c>
      <c r="L10" s="72">
        <v>2.33</v>
      </c>
      <c r="M10" s="68">
        <f>ROUND(L10*1379.2/450,2)</f>
        <v>7.14</v>
      </c>
      <c r="N10" s="641"/>
      <c r="O10" s="68">
        <f>(J10+L10)/2*1379.2*2</f>
        <v>5985.728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ROUND(J11*1379.2/838,2)</f>
        <v>3.75</v>
      </c>
      <c r="L11" s="72">
        <v>2.28</v>
      </c>
      <c r="M11" s="68">
        <f>ROUND(L11*1379.2/838,2)</f>
        <v>3.75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ROUND(J12*1379.2/240,2)</f>
        <v>7.76</v>
      </c>
      <c r="L12" s="72">
        <v>1.36</v>
      </c>
      <c r="M12" s="68">
        <f>ROUND(L12*1379.2/240,2)</f>
        <v>7.82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ROUND(J13*1379.2/1008,2)</f>
        <v>5.09</v>
      </c>
      <c r="L13" s="72">
        <v>3.87</v>
      </c>
      <c r="M13" s="68">
        <f>ROUND(L13*1379.2/1008,2)</f>
        <v>5.3</v>
      </c>
      <c r="N13" s="641"/>
      <c r="O13" s="68">
        <f>(J13+L13)/2*1379.2</f>
        <v>5234.064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24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24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24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F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55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8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57</v>
      </c>
      <c r="H6" s="635">
        <v>0.24</v>
      </c>
      <c r="I6" s="632" t="s">
        <v>58</v>
      </c>
      <c r="J6" s="35">
        <v>3.5</v>
      </c>
      <c r="K6" s="69"/>
      <c r="L6" s="72">
        <v>3.51</v>
      </c>
      <c r="M6" s="69"/>
      <c r="N6" s="641" t="s">
        <v>513</v>
      </c>
      <c r="O6" s="69"/>
      <c r="P6" s="70"/>
      <c r="Q6" s="70"/>
      <c r="R6" s="70"/>
    </row>
    <row r="7" spans="2:18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  <c r="P7" s="70"/>
      <c r="Q7" s="70"/>
      <c r="R7" s="70"/>
    </row>
    <row r="8" spans="2:18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  <c r="P8" s="70"/>
      <c r="Q8" s="70"/>
      <c r="R8" s="70"/>
    </row>
    <row r="9" spans="2:18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  <c r="P9" s="70"/>
      <c r="Q9" s="70"/>
      <c r="R9" s="70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ROUND(J10*2075.1/450,2)</f>
        <v>9.27</v>
      </c>
      <c r="L10" s="72">
        <v>2.33</v>
      </c>
      <c r="M10" s="68">
        <f>ROUND(L10*2075.1/450,2)</f>
        <v>10.74</v>
      </c>
      <c r="N10" s="641"/>
      <c r="O10" s="68">
        <f>(J10+L10)/2*2075.1*2</f>
        <v>9005.934</v>
      </c>
      <c r="P10" s="70"/>
      <c r="Q10" s="71"/>
      <c r="R10" s="70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ROUND(J11*2075.1/894,2)</f>
        <v>5.29</v>
      </c>
      <c r="L11" s="72">
        <v>2.28</v>
      </c>
      <c r="M11" s="68">
        <f>ROUND(L11*2075.1/894,2)</f>
        <v>5.29</v>
      </c>
      <c r="N11" s="641"/>
      <c r="O11" s="24"/>
      <c r="P11" s="70"/>
      <c r="Q11" s="71"/>
      <c r="R11" s="70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ROUND(J12*2075.1/240,2)</f>
        <v>11.67</v>
      </c>
      <c r="L12" s="72">
        <v>1.36</v>
      </c>
      <c r="M12" s="68">
        <f>ROUND(L12*2075.1/240,2)</f>
        <v>11.76</v>
      </c>
      <c r="N12" s="641"/>
      <c r="O12" s="24"/>
      <c r="P12" s="70"/>
      <c r="Q12" s="71"/>
      <c r="R12" s="70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ROUND(J13*2075.1/1008,2)</f>
        <v>7.66</v>
      </c>
      <c r="L13" s="72">
        <v>3.87</v>
      </c>
      <c r="M13" s="68">
        <f>ROUND(L13*2075.1/1008,2)</f>
        <v>7.97</v>
      </c>
      <c r="N13" s="641"/>
      <c r="O13" s="68">
        <f>(J13+L13)/2*2075.1</f>
        <v>7875.004499999999</v>
      </c>
      <c r="P13" s="70"/>
      <c r="Q13" s="71"/>
      <c r="R13" s="70"/>
      <c r="S13" s="61"/>
    </row>
    <row r="14" spans="2:18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  <c r="P14" s="70"/>
      <c r="Q14" s="70"/>
      <c r="R14" s="70"/>
    </row>
    <row r="15" spans="2:18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  <c r="P15" s="70"/>
      <c r="Q15" s="70"/>
      <c r="R15" s="70"/>
    </row>
    <row r="16" spans="2:18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  <c r="P16" s="70"/>
      <c r="Q16" s="70"/>
      <c r="R16" s="70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F4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59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77</v>
      </c>
      <c r="H6" s="635">
        <v>0.20800000000000002</v>
      </c>
      <c r="I6" s="632" t="s">
        <v>78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ROUND(J10*3467.9/750,2)</f>
        <v>9.29</v>
      </c>
      <c r="L10" s="72">
        <v>2.33</v>
      </c>
      <c r="M10" s="68">
        <f>ROUND(L10*3467.9/750,2)</f>
        <v>10.77</v>
      </c>
      <c r="N10" s="641"/>
      <c r="O10" s="68">
        <f>(J10+L10)/2*3467.9*2</f>
        <v>15050.686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ROUND(J11*3467.9/1570,2)</f>
        <v>5.04</v>
      </c>
      <c r="L11" s="72">
        <v>2.28</v>
      </c>
      <c r="M11" s="68">
        <f>ROUND(L11*3467.9/1570,2)</f>
        <v>5.04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ROUND(J12*3467.9/400,2)</f>
        <v>11.7</v>
      </c>
      <c r="L12" s="72">
        <v>1.36</v>
      </c>
      <c r="M12" s="68">
        <f>ROUND(L12*3467.9/400,2)</f>
        <v>11.79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ROUND(J13*3467.9/1680,2)</f>
        <v>7.68</v>
      </c>
      <c r="L13" s="72">
        <v>3.87</v>
      </c>
      <c r="M13" s="68">
        <f>ROUND(L13*3467.9/1680,2)</f>
        <v>7.99</v>
      </c>
      <c r="N13" s="641"/>
      <c r="O13" s="68">
        <f>(J13+L13)/2*3467.9</f>
        <v>13160.6805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H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79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65</v>
      </c>
      <c r="H6" s="635">
        <v>0.24</v>
      </c>
      <c r="I6" s="632" t="s">
        <v>66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ROUND(J10*2084.4/450,2)</f>
        <v>9.31</v>
      </c>
      <c r="L10" s="72">
        <v>2.33</v>
      </c>
      <c r="M10" s="68">
        <f>ROUND(L10*2084.4/450,2)</f>
        <v>10.79</v>
      </c>
      <c r="N10" s="641"/>
      <c r="O10" s="68">
        <f>(J10+L10)/2*2084.4*2</f>
        <v>9046.296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ROUND(J11*2084.4/894,2)</f>
        <v>5.32</v>
      </c>
      <c r="L11" s="72">
        <v>2.28</v>
      </c>
      <c r="M11" s="68">
        <f>ROUND(L11*2084.4/894,2)</f>
        <v>5.32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ROUND(J12*2084.4/240,2)</f>
        <v>11.72</v>
      </c>
      <c r="L12" s="72">
        <v>1.36</v>
      </c>
      <c r="M12" s="68">
        <f>ROUND(L12*2084.4/240,2)</f>
        <v>11.81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ROUND(J13*2084.4/1008,2)</f>
        <v>7.69</v>
      </c>
      <c r="L13" s="72">
        <v>3.87</v>
      </c>
      <c r="M13" s="68">
        <f>ROUND(L13*2084.4/1008,2)</f>
        <v>8</v>
      </c>
      <c r="N13" s="641"/>
      <c r="O13" s="68">
        <f>(J13+L13)/2*2084.4</f>
        <v>7910.298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I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67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83</v>
      </c>
      <c r="H6" s="635">
        <v>0.2</v>
      </c>
      <c r="I6" s="632" t="s">
        <v>84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ROUND(J10*3463.1/750,2)</f>
        <v>9.28</v>
      </c>
      <c r="L10" s="72">
        <v>2.33</v>
      </c>
      <c r="M10" s="68">
        <f>ROUND(L10*3463.1/750,2)</f>
        <v>10.76</v>
      </c>
      <c r="N10" s="641"/>
      <c r="O10" s="68">
        <f>(J10+L10)/2*3463.1*2</f>
        <v>15029.854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ROUND(J11*3463.1/1570,2)</f>
        <v>5.03</v>
      </c>
      <c r="L11" s="72">
        <v>2.28</v>
      </c>
      <c r="M11" s="68">
        <f>ROUND(L11*3463.1/1570,2)</f>
        <v>5.03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ROUND(J12*3463.1/400,2)</f>
        <v>11.69</v>
      </c>
      <c r="L12" s="72">
        <v>1.36</v>
      </c>
      <c r="M12" s="68">
        <f>ROUND(L12*3463.1/400,2)</f>
        <v>11.77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ROUND(J13*3463.1/1680,2)</f>
        <v>7.67</v>
      </c>
      <c r="L13" s="72">
        <v>3.87</v>
      </c>
      <c r="M13" s="68">
        <f>ROUND(L13*3463.1/1680,2)</f>
        <v>7.98</v>
      </c>
      <c r="N13" s="641"/>
      <c r="O13" s="68">
        <f>(J13+L13)/2*3463.1</f>
        <v>13142.4645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I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85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382</v>
      </c>
      <c r="H6" s="635">
        <v>0.2</v>
      </c>
      <c r="I6" s="632" t="s">
        <v>70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ROUND(J10*2842.1/600,2)</f>
        <v>9.52</v>
      </c>
      <c r="L10" s="72">
        <v>2.33</v>
      </c>
      <c r="M10" s="68">
        <f>ROUND(L10*2842.1/600,2)</f>
        <v>11.04</v>
      </c>
      <c r="N10" s="641"/>
      <c r="O10" s="68">
        <f>(J10+L10)/2*2842.1*2</f>
        <v>12334.714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ROUND(J11*2842.1/1332,2)</f>
        <v>4.86</v>
      </c>
      <c r="L11" s="72">
        <v>2.28</v>
      </c>
      <c r="M11" s="68">
        <f>ROUND(L11*2842.1/1332,2)</f>
        <v>4.86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ROUND(J12*2842.1/320,2)</f>
        <v>11.99</v>
      </c>
      <c r="L12" s="72">
        <v>1.36</v>
      </c>
      <c r="M12" s="68">
        <f>ROUND(L12*2842.1/320,2)</f>
        <v>12.08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ROUND(J13*2842.1/1340,2)</f>
        <v>7.89</v>
      </c>
      <c r="L13" s="72">
        <v>3.87</v>
      </c>
      <c r="M13" s="68">
        <f>ROUND(L13*2842.1/1340,2)</f>
        <v>8.21</v>
      </c>
      <c r="N13" s="641"/>
      <c r="O13" s="68">
        <f>(J13+L13)/2*2842.1</f>
        <v>10785.7695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H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71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383</v>
      </c>
      <c r="H6" s="635">
        <v>0.2</v>
      </c>
      <c r="I6" s="632" t="s">
        <v>72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ROUND(J10*2522.6/680,2)</f>
        <v>7.46</v>
      </c>
      <c r="L10" s="72">
        <v>2.33</v>
      </c>
      <c r="M10" s="68">
        <f>ROUND(L10*2522.6/680,2)</f>
        <v>8.64</v>
      </c>
      <c r="N10" s="641"/>
      <c r="O10" s="68">
        <f>(J10+L10)/2*2522.6*2</f>
        <v>10948.083999999999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ROUND(J11*2522.6/854,2)</f>
        <v>6.73</v>
      </c>
      <c r="L11" s="72">
        <v>2.28</v>
      </c>
      <c r="M11" s="68">
        <f>ROUND(L11*2522.6/854,2)</f>
        <v>6.73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ROUND(J12*2522.6/400,2)</f>
        <v>8.51</v>
      </c>
      <c r="L12" s="72">
        <v>1.36</v>
      </c>
      <c r="M12" s="68">
        <f>ROUND(L12*2522.6/400,2)</f>
        <v>8.58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ROUND(J13*2522.6/1640,2)</f>
        <v>5.72</v>
      </c>
      <c r="L13" s="72">
        <v>3.87</v>
      </c>
      <c r="M13" s="68">
        <f>ROUND(L13*2522.6/1640,2)</f>
        <v>5.95</v>
      </c>
      <c r="N13" s="641"/>
      <c r="O13" s="68">
        <f>(J13+L13)/2*2522.6</f>
        <v>9573.267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185"/>
  <sheetViews>
    <sheetView view="pageBreakPreview" zoomScaleSheetLayoutView="100" zoomScalePageLayoutView="0" workbookViewId="0" topLeftCell="A161">
      <selection activeCell="I116" sqref="I116"/>
    </sheetView>
  </sheetViews>
  <sheetFormatPr defaultColWidth="9.00390625" defaultRowHeight="15.75"/>
  <cols>
    <col min="1" max="1" width="40.75390625" style="0" customWidth="1"/>
    <col min="2" max="2" width="8.00390625" style="0" hidden="1" customWidth="1"/>
    <col min="3" max="3" width="5.625" style="0" customWidth="1"/>
    <col min="4" max="4" width="9.375" style="0" customWidth="1"/>
    <col min="5" max="5" width="9.625" style="0" customWidth="1"/>
    <col min="6" max="6" width="9.25390625" style="0" customWidth="1"/>
    <col min="7" max="7" width="9.00390625" style="0" customWidth="1"/>
    <col min="8" max="8" width="8.50390625" style="0" customWidth="1"/>
    <col min="9" max="9" width="10.25390625" style="0" customWidth="1"/>
    <col min="10" max="10" width="9.75390625" style="0" customWidth="1"/>
    <col min="11" max="11" width="10.25390625" style="0" customWidth="1"/>
    <col min="12" max="12" width="8.00390625" style="0" hidden="1" customWidth="1"/>
  </cols>
  <sheetData>
    <row r="1" spans="1:12" ht="12.7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8" t="s">
        <v>992</v>
      </c>
      <c r="L1" s="119"/>
    </row>
    <row r="2" spans="1:12" ht="12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20" t="s">
        <v>993</v>
      </c>
      <c r="L2" s="119"/>
    </row>
    <row r="3" spans="1:12" ht="14.25" customHeight="1">
      <c r="A3" s="510" t="s">
        <v>889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119"/>
    </row>
    <row r="4" spans="1:12" ht="15.75" customHeight="1">
      <c r="A4" s="510" t="s">
        <v>890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119"/>
    </row>
    <row r="5" spans="1:12" ht="2.25" customHeight="1" thickBot="1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121" t="s">
        <v>555</v>
      </c>
      <c r="L5" s="122"/>
    </row>
    <row r="6" spans="1:12" ht="11.25" customHeight="1">
      <c r="A6" s="123"/>
      <c r="B6" s="123"/>
      <c r="C6" s="512" t="s">
        <v>994</v>
      </c>
      <c r="D6" s="512"/>
      <c r="E6" s="512"/>
      <c r="F6" s="512"/>
      <c r="G6" s="125"/>
      <c r="H6" s="125"/>
      <c r="I6" s="513" t="s">
        <v>995</v>
      </c>
      <c r="J6" s="513"/>
      <c r="K6" s="127" t="s">
        <v>891</v>
      </c>
      <c r="L6" s="128"/>
    </row>
    <row r="7" spans="1:12" ht="13.5" customHeight="1">
      <c r="A7" s="123"/>
      <c r="B7" s="123"/>
      <c r="C7" s="125"/>
      <c r="D7" s="125"/>
      <c r="E7" s="125"/>
      <c r="F7" s="125"/>
      <c r="G7" s="125"/>
      <c r="H7" s="125"/>
      <c r="I7" s="125"/>
      <c r="J7" s="126" t="s">
        <v>892</v>
      </c>
      <c r="K7" s="129">
        <v>41640</v>
      </c>
      <c r="L7" s="128"/>
    </row>
    <row r="8" spans="1:12" ht="12.75" customHeight="1" hidden="1">
      <c r="A8" s="117"/>
      <c r="B8" s="117"/>
      <c r="C8" s="130"/>
      <c r="D8" s="125"/>
      <c r="E8" s="125"/>
      <c r="F8" s="125"/>
      <c r="G8" s="125"/>
      <c r="H8" s="131"/>
      <c r="I8" s="131"/>
      <c r="J8" s="132"/>
      <c r="K8" s="133"/>
      <c r="L8" s="128"/>
    </row>
    <row r="9" spans="1:12" s="139" customFormat="1" ht="27" customHeight="1">
      <c r="A9" s="134" t="s">
        <v>229</v>
      </c>
      <c r="B9" s="135"/>
      <c r="C9" s="514" t="s">
        <v>230</v>
      </c>
      <c r="D9" s="515"/>
      <c r="E9" s="515"/>
      <c r="F9" s="515"/>
      <c r="G9" s="515"/>
      <c r="H9" s="515"/>
      <c r="I9" s="515"/>
      <c r="J9" s="136" t="s">
        <v>893</v>
      </c>
      <c r="K9" s="137"/>
      <c r="L9" s="138"/>
    </row>
    <row r="10" spans="1:12" ht="12.75" customHeight="1">
      <c r="A10" s="140" t="s">
        <v>231</v>
      </c>
      <c r="B10" s="125"/>
      <c r="C10" s="141"/>
      <c r="D10" s="141"/>
      <c r="E10" s="141"/>
      <c r="F10" s="141"/>
      <c r="G10" s="141"/>
      <c r="H10" s="141"/>
      <c r="I10" s="141"/>
      <c r="J10" s="126"/>
      <c r="K10" s="142"/>
      <c r="L10" s="128"/>
    </row>
    <row r="11" spans="1:12" ht="12.75" customHeight="1">
      <c r="A11" s="143" t="s">
        <v>232</v>
      </c>
      <c r="B11" s="144"/>
      <c r="C11" s="145"/>
      <c r="D11" s="141"/>
      <c r="E11" s="141"/>
      <c r="F11" s="141"/>
      <c r="G11" s="141"/>
      <c r="H11" s="146"/>
      <c r="I11" s="146"/>
      <c r="J11" s="126" t="s">
        <v>894</v>
      </c>
      <c r="K11" s="147"/>
      <c r="L11" s="128"/>
    </row>
    <row r="12" spans="1:12" ht="12" customHeight="1">
      <c r="A12" s="143" t="s">
        <v>895</v>
      </c>
      <c r="B12" s="144"/>
      <c r="C12" s="148"/>
      <c r="D12" s="149"/>
      <c r="E12" s="149"/>
      <c r="F12" s="149"/>
      <c r="G12" s="149"/>
      <c r="H12" s="150"/>
      <c r="I12" s="150"/>
      <c r="J12" s="126"/>
      <c r="K12" s="151"/>
      <c r="L12" s="128"/>
    </row>
    <row r="13" spans="1:12" ht="11.25" customHeight="1">
      <c r="A13" s="143" t="s">
        <v>896</v>
      </c>
      <c r="B13" s="144"/>
      <c r="C13" s="130"/>
      <c r="D13" s="125"/>
      <c r="E13" s="125"/>
      <c r="F13" s="125"/>
      <c r="G13" s="125"/>
      <c r="H13" s="131"/>
      <c r="I13" s="131"/>
      <c r="J13" s="126" t="s">
        <v>893</v>
      </c>
      <c r="K13" s="152"/>
      <c r="L13" s="128"/>
    </row>
    <row r="14" spans="1:12" ht="13.5" customHeight="1">
      <c r="A14" s="140" t="s">
        <v>996</v>
      </c>
      <c r="B14" s="125"/>
      <c r="C14" s="509" t="s">
        <v>997</v>
      </c>
      <c r="D14" s="509"/>
      <c r="E14" s="509"/>
      <c r="F14" s="509"/>
      <c r="G14" s="509"/>
      <c r="H14" s="509"/>
      <c r="I14" s="509"/>
      <c r="J14" s="126" t="s">
        <v>897</v>
      </c>
      <c r="K14" s="154"/>
      <c r="L14" s="128"/>
    </row>
    <row r="15" spans="1:12" ht="14.25" customHeight="1">
      <c r="A15" s="140" t="s">
        <v>898</v>
      </c>
      <c r="B15" s="125"/>
      <c r="C15" s="148"/>
      <c r="D15" s="149"/>
      <c r="E15" s="149"/>
      <c r="F15" s="149"/>
      <c r="G15" s="149"/>
      <c r="H15" s="149"/>
      <c r="I15" s="149"/>
      <c r="J15" s="126"/>
      <c r="K15" s="154"/>
      <c r="L15" s="128"/>
    </row>
    <row r="16" spans="1:12" ht="12" customHeight="1" thickBot="1">
      <c r="A16" s="143" t="s">
        <v>998</v>
      </c>
      <c r="B16" s="144"/>
      <c r="C16" s="130"/>
      <c r="D16" s="125"/>
      <c r="E16" s="125"/>
      <c r="F16" s="125"/>
      <c r="G16" s="125"/>
      <c r="H16" s="125"/>
      <c r="I16" s="125"/>
      <c r="J16" s="126" t="s">
        <v>899</v>
      </c>
      <c r="K16" s="155" t="s">
        <v>900</v>
      </c>
      <c r="L16" s="128"/>
    </row>
    <row r="17" spans="1:12" ht="15" customHeight="1">
      <c r="A17" s="156"/>
      <c r="B17" s="156"/>
      <c r="C17" s="157"/>
      <c r="D17" s="153"/>
      <c r="E17" s="153"/>
      <c r="F17" s="153"/>
      <c r="G17" s="153"/>
      <c r="H17" s="153"/>
      <c r="I17" s="153"/>
      <c r="J17" s="153"/>
      <c r="K17" s="158"/>
      <c r="L17" s="119"/>
    </row>
    <row r="18" spans="1:12" ht="13.5" customHeight="1">
      <c r="A18" s="159"/>
      <c r="B18" s="160"/>
      <c r="C18" s="161" t="s">
        <v>901</v>
      </c>
      <c r="D18" s="503" t="s">
        <v>556</v>
      </c>
      <c r="E18" s="503"/>
      <c r="F18" s="503"/>
      <c r="G18" s="503"/>
      <c r="H18" s="508" t="s">
        <v>902</v>
      </c>
      <c r="I18" s="508"/>
      <c r="J18" s="508"/>
      <c r="K18" s="508"/>
      <c r="L18" s="119"/>
    </row>
    <row r="19" spans="1:12" ht="11.25" customHeight="1">
      <c r="A19" s="163"/>
      <c r="B19" s="164"/>
      <c r="C19" s="165" t="s">
        <v>903</v>
      </c>
      <c r="D19" s="166" t="s">
        <v>904</v>
      </c>
      <c r="E19" s="166" t="s">
        <v>904</v>
      </c>
      <c r="F19" s="166" t="s">
        <v>905</v>
      </c>
      <c r="G19" s="505" t="s">
        <v>559</v>
      </c>
      <c r="H19" s="166" t="s">
        <v>904</v>
      </c>
      <c r="I19" s="166" t="s">
        <v>904</v>
      </c>
      <c r="J19" s="166" t="s">
        <v>905</v>
      </c>
      <c r="K19" s="506" t="s">
        <v>559</v>
      </c>
      <c r="L19" s="119"/>
    </row>
    <row r="20" spans="1:12" ht="10.5" customHeight="1">
      <c r="A20" s="167" t="s">
        <v>558</v>
      </c>
      <c r="B20" s="168"/>
      <c r="C20" s="165" t="s">
        <v>906</v>
      </c>
      <c r="D20" s="169" t="s">
        <v>907</v>
      </c>
      <c r="E20" s="169" t="s">
        <v>908</v>
      </c>
      <c r="F20" s="169" t="s">
        <v>909</v>
      </c>
      <c r="G20" s="505"/>
      <c r="H20" s="169" t="s">
        <v>907</v>
      </c>
      <c r="I20" s="169" t="s">
        <v>908</v>
      </c>
      <c r="J20" s="169" t="s">
        <v>909</v>
      </c>
      <c r="K20" s="506"/>
      <c r="L20" s="119"/>
    </row>
    <row r="21" spans="1:12" ht="14.25" customHeight="1">
      <c r="A21" s="170"/>
      <c r="B21" s="171"/>
      <c r="C21" s="172"/>
      <c r="D21" s="173" t="s">
        <v>910</v>
      </c>
      <c r="E21" s="173" t="s">
        <v>911</v>
      </c>
      <c r="F21" s="173" t="s">
        <v>912</v>
      </c>
      <c r="G21" s="505"/>
      <c r="H21" s="173" t="s">
        <v>910</v>
      </c>
      <c r="I21" s="173" t="s">
        <v>911</v>
      </c>
      <c r="J21" s="173" t="s">
        <v>912</v>
      </c>
      <c r="K21" s="506"/>
      <c r="L21" s="119"/>
    </row>
    <row r="22" spans="1:12" ht="12.75" customHeight="1" thickBot="1">
      <c r="A22" s="174">
        <v>1</v>
      </c>
      <c r="B22" s="175"/>
      <c r="C22" s="176" t="s">
        <v>560</v>
      </c>
      <c r="D22" s="177">
        <v>3</v>
      </c>
      <c r="E22" s="177">
        <v>4</v>
      </c>
      <c r="F22" s="177">
        <v>5</v>
      </c>
      <c r="G22" s="177">
        <v>6</v>
      </c>
      <c r="H22" s="177">
        <v>7</v>
      </c>
      <c r="I22" s="177">
        <v>8</v>
      </c>
      <c r="J22" s="177">
        <v>9</v>
      </c>
      <c r="K22" s="178">
        <v>10</v>
      </c>
      <c r="L22" s="119"/>
    </row>
    <row r="23" spans="1:12" ht="15" customHeight="1">
      <c r="A23" s="179" t="s">
        <v>563</v>
      </c>
      <c r="B23" s="180"/>
      <c r="C23" s="181"/>
      <c r="D23" s="182"/>
      <c r="E23" s="182"/>
      <c r="F23" s="182"/>
      <c r="G23" s="182"/>
      <c r="H23" s="182"/>
      <c r="I23" s="182"/>
      <c r="J23" s="182"/>
      <c r="K23" s="183"/>
      <c r="L23" s="128"/>
    </row>
    <row r="24" spans="1:12" ht="15" customHeight="1">
      <c r="A24" s="184" t="s">
        <v>913</v>
      </c>
      <c r="B24" s="185" t="s">
        <v>564</v>
      </c>
      <c r="C24" s="186" t="s">
        <v>564</v>
      </c>
      <c r="D24" s="187" t="s">
        <v>914</v>
      </c>
      <c r="E24" s="187">
        <v>301301851.75</v>
      </c>
      <c r="F24" s="187" t="s">
        <v>914</v>
      </c>
      <c r="G24" s="187">
        <v>301301851.75</v>
      </c>
      <c r="H24" s="187" t="s">
        <v>914</v>
      </c>
      <c r="I24" s="187">
        <v>310567375.29</v>
      </c>
      <c r="J24" s="187" t="s">
        <v>914</v>
      </c>
      <c r="K24" s="188">
        <v>310567375.29</v>
      </c>
      <c r="L24" s="128"/>
    </row>
    <row r="25" spans="1:12" ht="15" customHeight="1">
      <c r="A25" s="189" t="s">
        <v>248</v>
      </c>
      <c r="B25" s="190"/>
      <c r="C25" s="191"/>
      <c r="D25" s="192"/>
      <c r="E25" s="192"/>
      <c r="F25" s="192"/>
      <c r="G25" s="192"/>
      <c r="H25" s="192"/>
      <c r="I25" s="192"/>
      <c r="J25" s="192"/>
      <c r="K25" s="193"/>
      <c r="L25" s="128"/>
    </row>
    <row r="26" spans="1:12" ht="15" customHeight="1">
      <c r="A26" s="194" t="s">
        <v>915</v>
      </c>
      <c r="B26" s="190" t="s">
        <v>565</v>
      </c>
      <c r="C26" s="186" t="s">
        <v>565</v>
      </c>
      <c r="D26" s="187" t="s">
        <v>914</v>
      </c>
      <c r="E26" s="187">
        <v>261459182.33</v>
      </c>
      <c r="F26" s="187" t="s">
        <v>914</v>
      </c>
      <c r="G26" s="187">
        <v>261459182.33</v>
      </c>
      <c r="H26" s="187" t="s">
        <v>914</v>
      </c>
      <c r="I26" s="187">
        <v>261459182.33</v>
      </c>
      <c r="J26" s="187" t="s">
        <v>914</v>
      </c>
      <c r="K26" s="188">
        <v>261459182.33</v>
      </c>
      <c r="L26" s="128"/>
    </row>
    <row r="27" spans="1:12" ht="15" customHeight="1">
      <c r="A27" s="195" t="s">
        <v>916</v>
      </c>
      <c r="B27" s="190" t="s">
        <v>917</v>
      </c>
      <c r="C27" s="196" t="s">
        <v>917</v>
      </c>
      <c r="D27" s="197" t="s">
        <v>914</v>
      </c>
      <c r="E27" s="197">
        <v>22080756.77</v>
      </c>
      <c r="F27" s="197" t="s">
        <v>914</v>
      </c>
      <c r="G27" s="197">
        <v>22080756.77</v>
      </c>
      <c r="H27" s="197" t="s">
        <v>914</v>
      </c>
      <c r="I27" s="197">
        <v>35537765.87</v>
      </c>
      <c r="J27" s="197" t="s">
        <v>914</v>
      </c>
      <c r="K27" s="198">
        <v>35537765.87</v>
      </c>
      <c r="L27" s="128"/>
    </row>
    <row r="28" spans="1:12" ht="15" customHeight="1">
      <c r="A28" s="195" t="s">
        <v>918</v>
      </c>
      <c r="B28" s="190" t="s">
        <v>566</v>
      </c>
      <c r="C28" s="196" t="s">
        <v>566</v>
      </c>
      <c r="D28" s="197" t="s">
        <v>914</v>
      </c>
      <c r="E28" s="197">
        <v>17761912.65</v>
      </c>
      <c r="F28" s="197" t="s">
        <v>914</v>
      </c>
      <c r="G28" s="197">
        <v>17761912.65</v>
      </c>
      <c r="H28" s="197" t="s">
        <v>914</v>
      </c>
      <c r="I28" s="197">
        <v>13570427.09</v>
      </c>
      <c r="J28" s="197" t="s">
        <v>914</v>
      </c>
      <c r="K28" s="198">
        <v>13570427.09</v>
      </c>
      <c r="L28" s="128"/>
    </row>
    <row r="29" spans="1:12" ht="15" customHeight="1">
      <c r="A29" s="195" t="s">
        <v>919</v>
      </c>
      <c r="B29" s="190" t="s">
        <v>567</v>
      </c>
      <c r="C29" s="196" t="s">
        <v>567</v>
      </c>
      <c r="D29" s="197" t="s">
        <v>914</v>
      </c>
      <c r="E29" s="197" t="s">
        <v>914</v>
      </c>
      <c r="F29" s="197" t="s">
        <v>914</v>
      </c>
      <c r="G29" s="197" t="s">
        <v>914</v>
      </c>
      <c r="H29" s="197" t="s">
        <v>914</v>
      </c>
      <c r="I29" s="197" t="s">
        <v>914</v>
      </c>
      <c r="J29" s="197" t="s">
        <v>914</v>
      </c>
      <c r="K29" s="198" t="s">
        <v>914</v>
      </c>
      <c r="L29" s="128"/>
    </row>
    <row r="30" spans="1:12" ht="15" customHeight="1">
      <c r="A30" s="199" t="s">
        <v>920</v>
      </c>
      <c r="B30" s="190" t="s">
        <v>568</v>
      </c>
      <c r="C30" s="196" t="s">
        <v>568</v>
      </c>
      <c r="D30" s="197" t="s">
        <v>914</v>
      </c>
      <c r="E30" s="197">
        <v>269659337.31</v>
      </c>
      <c r="F30" s="197" t="s">
        <v>914</v>
      </c>
      <c r="G30" s="197">
        <v>269659337.31</v>
      </c>
      <c r="H30" s="197" t="s">
        <v>914</v>
      </c>
      <c r="I30" s="197">
        <v>273438591.71</v>
      </c>
      <c r="J30" s="197" t="s">
        <v>914</v>
      </c>
      <c r="K30" s="198">
        <v>273438591.71</v>
      </c>
      <c r="L30" s="128"/>
    </row>
    <row r="31" spans="1:12" ht="15" customHeight="1">
      <c r="A31" s="189" t="s">
        <v>248</v>
      </c>
      <c r="B31" s="190"/>
      <c r="C31" s="191"/>
      <c r="D31" s="192"/>
      <c r="E31" s="192"/>
      <c r="F31" s="192"/>
      <c r="G31" s="192"/>
      <c r="H31" s="192"/>
      <c r="I31" s="192"/>
      <c r="J31" s="192"/>
      <c r="K31" s="193"/>
      <c r="L31" s="128"/>
    </row>
    <row r="32" spans="1:12" ht="15" customHeight="1">
      <c r="A32" s="194" t="s">
        <v>921</v>
      </c>
      <c r="B32" s="190" t="s">
        <v>569</v>
      </c>
      <c r="C32" s="186" t="s">
        <v>569</v>
      </c>
      <c r="D32" s="187" t="s">
        <v>914</v>
      </c>
      <c r="E32" s="187">
        <v>246931251</v>
      </c>
      <c r="F32" s="187" t="s">
        <v>914</v>
      </c>
      <c r="G32" s="187">
        <v>246931251</v>
      </c>
      <c r="H32" s="187" t="s">
        <v>914</v>
      </c>
      <c r="I32" s="187">
        <v>247471937.76</v>
      </c>
      <c r="J32" s="187" t="s">
        <v>914</v>
      </c>
      <c r="K32" s="188">
        <v>247471937.76</v>
      </c>
      <c r="L32" s="128"/>
    </row>
    <row r="33" spans="1:12" ht="20.25" customHeight="1">
      <c r="A33" s="195" t="s">
        <v>922</v>
      </c>
      <c r="B33" s="190" t="s">
        <v>923</v>
      </c>
      <c r="C33" s="196" t="s">
        <v>923</v>
      </c>
      <c r="D33" s="197" t="s">
        <v>914</v>
      </c>
      <c r="E33" s="197">
        <v>11402923.73</v>
      </c>
      <c r="F33" s="197" t="s">
        <v>914</v>
      </c>
      <c r="G33" s="197">
        <v>11402923.73</v>
      </c>
      <c r="H33" s="197" t="s">
        <v>914</v>
      </c>
      <c r="I33" s="197">
        <v>15397857.56</v>
      </c>
      <c r="J33" s="197" t="s">
        <v>914</v>
      </c>
      <c r="K33" s="198">
        <v>15397857.56</v>
      </c>
      <c r="L33" s="128"/>
    </row>
    <row r="34" spans="1:12" ht="15" customHeight="1">
      <c r="A34" s="195" t="s">
        <v>924</v>
      </c>
      <c r="B34" s="190" t="s">
        <v>570</v>
      </c>
      <c r="C34" s="196" t="s">
        <v>570</v>
      </c>
      <c r="D34" s="197" t="s">
        <v>914</v>
      </c>
      <c r="E34" s="197">
        <v>11325162.58</v>
      </c>
      <c r="F34" s="197" t="s">
        <v>914</v>
      </c>
      <c r="G34" s="197">
        <v>11325162.58</v>
      </c>
      <c r="H34" s="197" t="s">
        <v>914</v>
      </c>
      <c r="I34" s="197">
        <v>10568796.39</v>
      </c>
      <c r="J34" s="197" t="s">
        <v>914</v>
      </c>
      <c r="K34" s="198">
        <v>10568796.39</v>
      </c>
      <c r="L34" s="128"/>
    </row>
    <row r="35" spans="1:12" ht="15" customHeight="1">
      <c r="A35" s="195" t="s">
        <v>925</v>
      </c>
      <c r="B35" s="190" t="s">
        <v>571</v>
      </c>
      <c r="C35" s="196" t="s">
        <v>571</v>
      </c>
      <c r="D35" s="197" t="s">
        <v>914</v>
      </c>
      <c r="E35" s="197" t="s">
        <v>914</v>
      </c>
      <c r="F35" s="197" t="s">
        <v>914</v>
      </c>
      <c r="G35" s="197" t="s">
        <v>914</v>
      </c>
      <c r="H35" s="197" t="s">
        <v>914</v>
      </c>
      <c r="I35" s="197" t="s">
        <v>914</v>
      </c>
      <c r="J35" s="197" t="s">
        <v>914</v>
      </c>
      <c r="K35" s="198" t="s">
        <v>914</v>
      </c>
      <c r="L35" s="128"/>
    </row>
    <row r="36" spans="1:12" ht="15" customHeight="1">
      <c r="A36" s="200" t="s">
        <v>926</v>
      </c>
      <c r="B36" s="185" t="s">
        <v>572</v>
      </c>
      <c r="C36" s="196" t="s">
        <v>572</v>
      </c>
      <c r="D36" s="197" t="s">
        <v>914</v>
      </c>
      <c r="E36" s="197">
        <v>31642514.44</v>
      </c>
      <c r="F36" s="197" t="s">
        <v>914</v>
      </c>
      <c r="G36" s="197">
        <v>31642514.44</v>
      </c>
      <c r="H36" s="197" t="s">
        <v>914</v>
      </c>
      <c r="I36" s="197">
        <v>37128783.58</v>
      </c>
      <c r="J36" s="197" t="s">
        <v>914</v>
      </c>
      <c r="K36" s="198">
        <v>37128783.58</v>
      </c>
      <c r="L36" s="128"/>
    </row>
    <row r="37" spans="1:12" ht="15" customHeight="1">
      <c r="A37" s="189" t="s">
        <v>999</v>
      </c>
      <c r="B37" s="190"/>
      <c r="C37" s="191"/>
      <c r="D37" s="192"/>
      <c r="E37" s="192"/>
      <c r="F37" s="192"/>
      <c r="G37" s="192"/>
      <c r="H37" s="192"/>
      <c r="I37" s="192"/>
      <c r="J37" s="192"/>
      <c r="K37" s="193"/>
      <c r="L37" s="128"/>
    </row>
    <row r="38" spans="1:12" ht="20.25" customHeight="1">
      <c r="A38" s="194" t="s">
        <v>927</v>
      </c>
      <c r="B38" s="190" t="s">
        <v>573</v>
      </c>
      <c r="C38" s="186" t="s">
        <v>573</v>
      </c>
      <c r="D38" s="187" t="s">
        <v>914</v>
      </c>
      <c r="E38" s="187">
        <v>14527931.33</v>
      </c>
      <c r="F38" s="187" t="s">
        <v>914</v>
      </c>
      <c r="G38" s="187">
        <v>14527931.33</v>
      </c>
      <c r="H38" s="187" t="s">
        <v>914</v>
      </c>
      <c r="I38" s="187">
        <v>13987244.57</v>
      </c>
      <c r="J38" s="187" t="s">
        <v>914</v>
      </c>
      <c r="K38" s="188">
        <v>13987244.57</v>
      </c>
      <c r="L38" s="128"/>
    </row>
    <row r="39" spans="1:12" ht="20.25" customHeight="1">
      <c r="A39" s="195" t="s">
        <v>928</v>
      </c>
      <c r="B39" s="190" t="s">
        <v>929</v>
      </c>
      <c r="C39" s="196" t="s">
        <v>929</v>
      </c>
      <c r="D39" s="197" t="s">
        <v>914</v>
      </c>
      <c r="E39" s="197">
        <v>10677833.04</v>
      </c>
      <c r="F39" s="197" t="s">
        <v>914</v>
      </c>
      <c r="G39" s="197">
        <v>10677833.04</v>
      </c>
      <c r="H39" s="197" t="s">
        <v>914</v>
      </c>
      <c r="I39" s="197">
        <v>20139908.31</v>
      </c>
      <c r="J39" s="197" t="s">
        <v>914</v>
      </c>
      <c r="K39" s="198">
        <v>20139908.31</v>
      </c>
      <c r="L39" s="128"/>
    </row>
    <row r="40" spans="1:12" ht="20.25" customHeight="1">
      <c r="A40" s="195" t="s">
        <v>930</v>
      </c>
      <c r="B40" s="190" t="s">
        <v>574</v>
      </c>
      <c r="C40" s="196" t="s">
        <v>574</v>
      </c>
      <c r="D40" s="197" t="s">
        <v>914</v>
      </c>
      <c r="E40" s="197">
        <v>6436750.07</v>
      </c>
      <c r="F40" s="197" t="s">
        <v>914</v>
      </c>
      <c r="G40" s="197">
        <v>6436750.07</v>
      </c>
      <c r="H40" s="197" t="s">
        <v>914</v>
      </c>
      <c r="I40" s="197">
        <v>3001630.7</v>
      </c>
      <c r="J40" s="197" t="s">
        <v>914</v>
      </c>
      <c r="K40" s="198">
        <v>3001630.7</v>
      </c>
      <c r="L40" s="128"/>
    </row>
    <row r="41" spans="1:12" ht="15" customHeight="1" thickBot="1">
      <c r="A41" s="195" t="s">
        <v>931</v>
      </c>
      <c r="B41" s="190" t="s">
        <v>575</v>
      </c>
      <c r="C41" s="201" t="s">
        <v>575</v>
      </c>
      <c r="D41" s="202" t="s">
        <v>914</v>
      </c>
      <c r="E41" s="202" t="s">
        <v>914</v>
      </c>
      <c r="F41" s="202" t="s">
        <v>914</v>
      </c>
      <c r="G41" s="202" t="s">
        <v>914</v>
      </c>
      <c r="H41" s="202" t="s">
        <v>914</v>
      </c>
      <c r="I41" s="202" t="s">
        <v>914</v>
      </c>
      <c r="J41" s="202" t="s">
        <v>914</v>
      </c>
      <c r="K41" s="203" t="s">
        <v>914</v>
      </c>
      <c r="L41" s="128"/>
    </row>
    <row r="42" spans="1:12" ht="15" customHeight="1">
      <c r="A42" s="204"/>
      <c r="B42" s="205"/>
      <c r="C42" s="206"/>
      <c r="D42" s="207"/>
      <c r="E42" s="207"/>
      <c r="F42" s="207"/>
      <c r="G42" s="207"/>
      <c r="H42" s="207"/>
      <c r="I42" s="207"/>
      <c r="J42" s="207"/>
      <c r="K42" s="207"/>
      <c r="L42" s="119"/>
    </row>
    <row r="43" spans="1:12" ht="13.5" customHeight="1">
      <c r="A43" s="208"/>
      <c r="B43" s="209"/>
      <c r="C43" s="210"/>
      <c r="D43" s="210"/>
      <c r="E43" s="211"/>
      <c r="F43" s="211"/>
      <c r="G43" s="211"/>
      <c r="H43" s="211"/>
      <c r="I43" s="211"/>
      <c r="J43" s="212"/>
      <c r="K43" s="213" t="s">
        <v>932</v>
      </c>
      <c r="L43" s="119"/>
    </row>
    <row r="44" spans="1:12" ht="15" customHeight="1">
      <c r="A44" s="149"/>
      <c r="B44" s="214"/>
      <c r="C44" s="215" t="s">
        <v>901</v>
      </c>
      <c r="D44" s="503" t="s">
        <v>556</v>
      </c>
      <c r="E44" s="503"/>
      <c r="F44" s="503"/>
      <c r="G44" s="503"/>
      <c r="H44" s="508" t="s">
        <v>902</v>
      </c>
      <c r="I44" s="508"/>
      <c r="J44" s="508"/>
      <c r="K44" s="508"/>
      <c r="L44" s="119"/>
    </row>
    <row r="45" spans="1:12" ht="11.25" customHeight="1">
      <c r="A45" s="125"/>
      <c r="B45" s="216"/>
      <c r="C45" s="217" t="s">
        <v>903</v>
      </c>
      <c r="D45" s="505" t="s">
        <v>933</v>
      </c>
      <c r="E45" s="505" t="s">
        <v>934</v>
      </c>
      <c r="F45" s="166" t="s">
        <v>905</v>
      </c>
      <c r="G45" s="505" t="s">
        <v>559</v>
      </c>
      <c r="H45" s="505" t="s">
        <v>933</v>
      </c>
      <c r="I45" s="505" t="s">
        <v>934</v>
      </c>
      <c r="J45" s="166" t="s">
        <v>905</v>
      </c>
      <c r="K45" s="506" t="s">
        <v>559</v>
      </c>
      <c r="L45" s="119"/>
    </row>
    <row r="46" spans="1:12" ht="10.5" customHeight="1">
      <c r="A46" s="124" t="s">
        <v>558</v>
      </c>
      <c r="B46" s="165"/>
      <c r="C46" s="217" t="s">
        <v>906</v>
      </c>
      <c r="D46" s="505"/>
      <c r="E46" s="505"/>
      <c r="F46" s="169" t="s">
        <v>909</v>
      </c>
      <c r="G46" s="505"/>
      <c r="H46" s="505"/>
      <c r="I46" s="505"/>
      <c r="J46" s="169" t="s">
        <v>909</v>
      </c>
      <c r="K46" s="506"/>
      <c r="L46" s="119"/>
    </row>
    <row r="47" spans="1:12" ht="18.75" customHeight="1">
      <c r="A47" s="153"/>
      <c r="B47" s="218"/>
      <c r="C47" s="219"/>
      <c r="D47" s="505"/>
      <c r="E47" s="505"/>
      <c r="F47" s="173" t="s">
        <v>912</v>
      </c>
      <c r="G47" s="505"/>
      <c r="H47" s="505"/>
      <c r="I47" s="505"/>
      <c r="J47" s="173" t="s">
        <v>912</v>
      </c>
      <c r="K47" s="506"/>
      <c r="L47" s="119"/>
    </row>
    <row r="48" spans="1:12" ht="12" customHeight="1" thickBot="1">
      <c r="A48" s="220">
        <v>1</v>
      </c>
      <c r="B48" s="221"/>
      <c r="C48" s="176" t="s">
        <v>560</v>
      </c>
      <c r="D48" s="177">
        <v>3</v>
      </c>
      <c r="E48" s="177">
        <v>4</v>
      </c>
      <c r="F48" s="177">
        <v>5</v>
      </c>
      <c r="G48" s="177">
        <v>6</v>
      </c>
      <c r="H48" s="177">
        <v>7</v>
      </c>
      <c r="I48" s="177">
        <v>8</v>
      </c>
      <c r="J48" s="177">
        <v>9</v>
      </c>
      <c r="K48" s="222">
        <v>10</v>
      </c>
      <c r="L48" s="119"/>
    </row>
    <row r="49" spans="1:12" ht="15" customHeight="1">
      <c r="A49" s="223" t="s">
        <v>935</v>
      </c>
      <c r="B49" s="190" t="s">
        <v>576</v>
      </c>
      <c r="C49" s="224" t="s">
        <v>576</v>
      </c>
      <c r="D49" s="225" t="s">
        <v>914</v>
      </c>
      <c r="E49" s="225" t="s">
        <v>914</v>
      </c>
      <c r="F49" s="225" t="s">
        <v>914</v>
      </c>
      <c r="G49" s="225" t="s">
        <v>914</v>
      </c>
      <c r="H49" s="225" t="s">
        <v>914</v>
      </c>
      <c r="I49" s="225" t="s">
        <v>914</v>
      </c>
      <c r="J49" s="225" t="s">
        <v>914</v>
      </c>
      <c r="K49" s="226" t="s">
        <v>914</v>
      </c>
      <c r="L49" s="128"/>
    </row>
    <row r="50" spans="1:12" ht="15" customHeight="1">
      <c r="A50" s="227" t="s">
        <v>999</v>
      </c>
      <c r="B50" s="228"/>
      <c r="C50" s="191"/>
      <c r="D50" s="192"/>
      <c r="E50" s="192"/>
      <c r="F50" s="192"/>
      <c r="G50" s="192"/>
      <c r="H50" s="192"/>
      <c r="I50" s="192"/>
      <c r="J50" s="192"/>
      <c r="K50" s="193"/>
      <c r="L50" s="128"/>
    </row>
    <row r="51" spans="1:12" ht="15" customHeight="1">
      <c r="A51" s="229" t="s">
        <v>936</v>
      </c>
      <c r="B51" s="228" t="s">
        <v>937</v>
      </c>
      <c r="C51" s="186" t="s">
        <v>937</v>
      </c>
      <c r="D51" s="187" t="s">
        <v>914</v>
      </c>
      <c r="E51" s="187" t="s">
        <v>914</v>
      </c>
      <c r="F51" s="187" t="s">
        <v>914</v>
      </c>
      <c r="G51" s="187" t="s">
        <v>914</v>
      </c>
      <c r="H51" s="187" t="s">
        <v>914</v>
      </c>
      <c r="I51" s="187" t="s">
        <v>914</v>
      </c>
      <c r="J51" s="187" t="s">
        <v>914</v>
      </c>
      <c r="K51" s="188" t="s">
        <v>914</v>
      </c>
      <c r="L51" s="128"/>
    </row>
    <row r="52" spans="1:12" ht="15" customHeight="1">
      <c r="A52" s="230" t="s">
        <v>938</v>
      </c>
      <c r="B52" s="228" t="s">
        <v>577</v>
      </c>
      <c r="C52" s="196" t="s">
        <v>577</v>
      </c>
      <c r="D52" s="197" t="s">
        <v>914</v>
      </c>
      <c r="E52" s="197" t="s">
        <v>914</v>
      </c>
      <c r="F52" s="197" t="s">
        <v>914</v>
      </c>
      <c r="G52" s="197" t="s">
        <v>914</v>
      </c>
      <c r="H52" s="197" t="s">
        <v>914</v>
      </c>
      <c r="I52" s="197" t="s">
        <v>914</v>
      </c>
      <c r="J52" s="197" t="s">
        <v>914</v>
      </c>
      <c r="K52" s="198" t="s">
        <v>914</v>
      </c>
      <c r="L52" s="128"/>
    </row>
    <row r="53" spans="1:12" ht="15" customHeight="1">
      <c r="A53" s="230" t="s">
        <v>939</v>
      </c>
      <c r="B53" s="228" t="s">
        <v>578</v>
      </c>
      <c r="C53" s="196" t="s">
        <v>578</v>
      </c>
      <c r="D53" s="197" t="s">
        <v>914</v>
      </c>
      <c r="E53" s="197" t="s">
        <v>914</v>
      </c>
      <c r="F53" s="197" t="s">
        <v>914</v>
      </c>
      <c r="G53" s="197" t="s">
        <v>914</v>
      </c>
      <c r="H53" s="197" t="s">
        <v>914</v>
      </c>
      <c r="I53" s="197" t="s">
        <v>914</v>
      </c>
      <c r="J53" s="197" t="s">
        <v>914</v>
      </c>
      <c r="K53" s="198" t="s">
        <v>914</v>
      </c>
      <c r="L53" s="128"/>
    </row>
    <row r="54" spans="1:12" ht="15" customHeight="1">
      <c r="A54" s="199" t="s">
        <v>940</v>
      </c>
      <c r="B54" s="190" t="s">
        <v>579</v>
      </c>
      <c r="C54" s="196" t="s">
        <v>579</v>
      </c>
      <c r="D54" s="197" t="s">
        <v>914</v>
      </c>
      <c r="E54" s="197" t="s">
        <v>914</v>
      </c>
      <c r="F54" s="197" t="s">
        <v>914</v>
      </c>
      <c r="G54" s="197" t="s">
        <v>914</v>
      </c>
      <c r="H54" s="197" t="s">
        <v>914</v>
      </c>
      <c r="I54" s="197" t="s">
        <v>914</v>
      </c>
      <c r="J54" s="197" t="s">
        <v>914</v>
      </c>
      <c r="K54" s="198" t="s">
        <v>914</v>
      </c>
      <c r="L54" s="128"/>
    </row>
    <row r="55" spans="1:12" ht="15" customHeight="1">
      <c r="A55" s="227" t="s">
        <v>999</v>
      </c>
      <c r="B55" s="228"/>
      <c r="C55" s="191"/>
      <c r="D55" s="192"/>
      <c r="E55" s="192"/>
      <c r="F55" s="192"/>
      <c r="G55" s="192"/>
      <c r="H55" s="192"/>
      <c r="I55" s="192"/>
      <c r="J55" s="192"/>
      <c r="K55" s="193"/>
      <c r="L55" s="128"/>
    </row>
    <row r="56" spans="1:12" ht="15" customHeight="1">
      <c r="A56" s="229" t="s">
        <v>941</v>
      </c>
      <c r="B56" s="228" t="s">
        <v>942</v>
      </c>
      <c r="C56" s="186" t="s">
        <v>942</v>
      </c>
      <c r="D56" s="187" t="s">
        <v>914</v>
      </c>
      <c r="E56" s="187" t="s">
        <v>914</v>
      </c>
      <c r="F56" s="187" t="s">
        <v>914</v>
      </c>
      <c r="G56" s="187" t="s">
        <v>914</v>
      </c>
      <c r="H56" s="187" t="s">
        <v>914</v>
      </c>
      <c r="I56" s="187" t="s">
        <v>914</v>
      </c>
      <c r="J56" s="187" t="s">
        <v>914</v>
      </c>
      <c r="K56" s="188" t="s">
        <v>914</v>
      </c>
      <c r="L56" s="128"/>
    </row>
    <row r="57" spans="1:12" ht="15" customHeight="1">
      <c r="A57" s="230" t="s">
        <v>943</v>
      </c>
      <c r="B57" s="228" t="s">
        <v>580</v>
      </c>
      <c r="C57" s="196" t="s">
        <v>580</v>
      </c>
      <c r="D57" s="197" t="s">
        <v>914</v>
      </c>
      <c r="E57" s="197" t="s">
        <v>914</v>
      </c>
      <c r="F57" s="197" t="s">
        <v>914</v>
      </c>
      <c r="G57" s="197" t="s">
        <v>914</v>
      </c>
      <c r="H57" s="197" t="s">
        <v>914</v>
      </c>
      <c r="I57" s="197" t="s">
        <v>914</v>
      </c>
      <c r="J57" s="197" t="s">
        <v>914</v>
      </c>
      <c r="K57" s="198" t="s">
        <v>914</v>
      </c>
      <c r="L57" s="128"/>
    </row>
    <row r="58" spans="1:12" ht="15" customHeight="1">
      <c r="A58" s="230" t="s">
        <v>944</v>
      </c>
      <c r="B58" s="228" t="s">
        <v>581</v>
      </c>
      <c r="C58" s="196" t="s">
        <v>581</v>
      </c>
      <c r="D58" s="197" t="s">
        <v>914</v>
      </c>
      <c r="E58" s="197" t="s">
        <v>914</v>
      </c>
      <c r="F58" s="197" t="s">
        <v>914</v>
      </c>
      <c r="G58" s="197" t="s">
        <v>914</v>
      </c>
      <c r="H58" s="197" t="s">
        <v>914</v>
      </c>
      <c r="I58" s="197" t="s">
        <v>914</v>
      </c>
      <c r="J58" s="197" t="s">
        <v>914</v>
      </c>
      <c r="K58" s="198" t="s">
        <v>914</v>
      </c>
      <c r="L58" s="128"/>
    </row>
    <row r="59" spans="1:12" ht="15" customHeight="1">
      <c r="A59" s="199" t="s">
        <v>945</v>
      </c>
      <c r="B59" s="190" t="s">
        <v>582</v>
      </c>
      <c r="C59" s="196" t="s">
        <v>582</v>
      </c>
      <c r="D59" s="197" t="s">
        <v>914</v>
      </c>
      <c r="E59" s="197" t="s">
        <v>914</v>
      </c>
      <c r="F59" s="197" t="s">
        <v>914</v>
      </c>
      <c r="G59" s="197" t="s">
        <v>914</v>
      </c>
      <c r="H59" s="197" t="s">
        <v>914</v>
      </c>
      <c r="I59" s="197" t="s">
        <v>914</v>
      </c>
      <c r="J59" s="197" t="s">
        <v>914</v>
      </c>
      <c r="K59" s="198" t="s">
        <v>914</v>
      </c>
      <c r="L59" s="128"/>
    </row>
    <row r="60" spans="1:12" ht="15" customHeight="1">
      <c r="A60" s="227" t="s">
        <v>999</v>
      </c>
      <c r="B60" s="228"/>
      <c r="C60" s="191"/>
      <c r="D60" s="192"/>
      <c r="E60" s="192"/>
      <c r="F60" s="192"/>
      <c r="G60" s="192"/>
      <c r="H60" s="192"/>
      <c r="I60" s="192"/>
      <c r="J60" s="192"/>
      <c r="K60" s="193"/>
      <c r="L60" s="128"/>
    </row>
    <row r="61" spans="1:12" ht="15" customHeight="1">
      <c r="A61" s="229" t="s">
        <v>946</v>
      </c>
      <c r="B61" s="228" t="s">
        <v>694</v>
      </c>
      <c r="C61" s="186" t="s">
        <v>694</v>
      </c>
      <c r="D61" s="187" t="s">
        <v>914</v>
      </c>
      <c r="E61" s="187" t="s">
        <v>914</v>
      </c>
      <c r="F61" s="187" t="s">
        <v>914</v>
      </c>
      <c r="G61" s="187" t="s">
        <v>914</v>
      </c>
      <c r="H61" s="187" t="s">
        <v>914</v>
      </c>
      <c r="I61" s="187" t="s">
        <v>914</v>
      </c>
      <c r="J61" s="187" t="s">
        <v>914</v>
      </c>
      <c r="K61" s="188" t="s">
        <v>914</v>
      </c>
      <c r="L61" s="128"/>
    </row>
    <row r="62" spans="1:12" ht="15" customHeight="1">
      <c r="A62" s="230" t="s">
        <v>947</v>
      </c>
      <c r="B62" s="228" t="s">
        <v>583</v>
      </c>
      <c r="C62" s="196" t="s">
        <v>583</v>
      </c>
      <c r="D62" s="197" t="s">
        <v>914</v>
      </c>
      <c r="E62" s="197" t="s">
        <v>914</v>
      </c>
      <c r="F62" s="197" t="s">
        <v>914</v>
      </c>
      <c r="G62" s="197" t="s">
        <v>914</v>
      </c>
      <c r="H62" s="197" t="s">
        <v>914</v>
      </c>
      <c r="I62" s="197" t="s">
        <v>914</v>
      </c>
      <c r="J62" s="197" t="s">
        <v>914</v>
      </c>
      <c r="K62" s="198" t="s">
        <v>914</v>
      </c>
      <c r="L62" s="128"/>
    </row>
    <row r="63" spans="1:12" ht="15" customHeight="1">
      <c r="A63" s="230" t="s">
        <v>948</v>
      </c>
      <c r="B63" s="228" t="s">
        <v>584</v>
      </c>
      <c r="C63" s="196" t="s">
        <v>584</v>
      </c>
      <c r="D63" s="197" t="s">
        <v>914</v>
      </c>
      <c r="E63" s="197" t="s">
        <v>914</v>
      </c>
      <c r="F63" s="197" t="s">
        <v>914</v>
      </c>
      <c r="G63" s="197" t="s">
        <v>914</v>
      </c>
      <c r="H63" s="197" t="s">
        <v>914</v>
      </c>
      <c r="I63" s="197" t="s">
        <v>914</v>
      </c>
      <c r="J63" s="197" t="s">
        <v>914</v>
      </c>
      <c r="K63" s="198" t="s">
        <v>914</v>
      </c>
      <c r="L63" s="128"/>
    </row>
    <row r="64" spans="1:12" ht="15" customHeight="1">
      <c r="A64" s="199" t="s">
        <v>949</v>
      </c>
      <c r="B64" s="190" t="s">
        <v>585</v>
      </c>
      <c r="C64" s="196" t="s">
        <v>585</v>
      </c>
      <c r="D64" s="197" t="s">
        <v>914</v>
      </c>
      <c r="E64" s="197" t="s">
        <v>914</v>
      </c>
      <c r="F64" s="197" t="s">
        <v>914</v>
      </c>
      <c r="G64" s="197" t="s">
        <v>914</v>
      </c>
      <c r="H64" s="197" t="s">
        <v>914</v>
      </c>
      <c r="I64" s="197" t="s">
        <v>914</v>
      </c>
      <c r="J64" s="197" t="s">
        <v>914</v>
      </c>
      <c r="K64" s="198" t="s">
        <v>914</v>
      </c>
      <c r="L64" s="128"/>
    </row>
    <row r="65" spans="1:12" ht="15" customHeight="1">
      <c r="A65" s="199" t="s">
        <v>950</v>
      </c>
      <c r="B65" s="190" t="s">
        <v>586</v>
      </c>
      <c r="C65" s="196" t="s">
        <v>586</v>
      </c>
      <c r="D65" s="197" t="s">
        <v>914</v>
      </c>
      <c r="E65" s="197">
        <v>1261135.29</v>
      </c>
      <c r="F65" s="197" t="s">
        <v>914</v>
      </c>
      <c r="G65" s="197">
        <v>1261135.29</v>
      </c>
      <c r="H65" s="197" t="s">
        <v>914</v>
      </c>
      <c r="I65" s="197">
        <v>1987140.61</v>
      </c>
      <c r="J65" s="197" t="s">
        <v>914</v>
      </c>
      <c r="K65" s="198">
        <v>1987140.61</v>
      </c>
      <c r="L65" s="128"/>
    </row>
    <row r="66" spans="1:12" ht="15" customHeight="1">
      <c r="A66" s="227" t="s">
        <v>999</v>
      </c>
      <c r="B66" s="228"/>
      <c r="C66" s="191"/>
      <c r="D66" s="192"/>
      <c r="E66" s="192"/>
      <c r="F66" s="192"/>
      <c r="G66" s="192"/>
      <c r="H66" s="192"/>
      <c r="I66" s="192"/>
      <c r="J66" s="192"/>
      <c r="K66" s="193"/>
      <c r="L66" s="128"/>
    </row>
    <row r="67" spans="1:12" ht="15" customHeight="1">
      <c r="A67" s="229" t="s">
        <v>951</v>
      </c>
      <c r="B67" s="228" t="s">
        <v>952</v>
      </c>
      <c r="C67" s="186" t="s">
        <v>952</v>
      </c>
      <c r="D67" s="187" t="s">
        <v>914</v>
      </c>
      <c r="E67" s="187" t="s">
        <v>914</v>
      </c>
      <c r="F67" s="187" t="s">
        <v>914</v>
      </c>
      <c r="G67" s="187" t="s">
        <v>914</v>
      </c>
      <c r="H67" s="187" t="s">
        <v>914</v>
      </c>
      <c r="I67" s="187" t="s">
        <v>914</v>
      </c>
      <c r="J67" s="187" t="s">
        <v>914</v>
      </c>
      <c r="K67" s="188" t="s">
        <v>914</v>
      </c>
      <c r="L67" s="128"/>
    </row>
    <row r="68" spans="1:12" ht="15" customHeight="1">
      <c r="A68" s="199" t="s">
        <v>953</v>
      </c>
      <c r="B68" s="190" t="s">
        <v>587</v>
      </c>
      <c r="C68" s="196" t="s">
        <v>587</v>
      </c>
      <c r="D68" s="197" t="s">
        <v>914</v>
      </c>
      <c r="E68" s="197">
        <v>609724.79</v>
      </c>
      <c r="F68" s="197" t="s">
        <v>914</v>
      </c>
      <c r="G68" s="197">
        <v>609724.79</v>
      </c>
      <c r="H68" s="197" t="s">
        <v>914</v>
      </c>
      <c r="I68" s="197">
        <v>825000</v>
      </c>
      <c r="J68" s="197" t="s">
        <v>914</v>
      </c>
      <c r="K68" s="198">
        <v>825000</v>
      </c>
      <c r="L68" s="128"/>
    </row>
    <row r="69" spans="1:12" ht="15" customHeight="1">
      <c r="A69" s="227" t="s">
        <v>999</v>
      </c>
      <c r="B69" s="228"/>
      <c r="C69" s="191"/>
      <c r="D69" s="192"/>
      <c r="E69" s="192"/>
      <c r="F69" s="192"/>
      <c r="G69" s="192"/>
      <c r="H69" s="192"/>
      <c r="I69" s="192"/>
      <c r="J69" s="192"/>
      <c r="K69" s="193"/>
      <c r="L69" s="128"/>
    </row>
    <row r="70" spans="1:12" ht="15" customHeight="1">
      <c r="A70" s="229" t="s">
        <v>588</v>
      </c>
      <c r="B70" s="228" t="s">
        <v>589</v>
      </c>
      <c r="C70" s="186" t="s">
        <v>589</v>
      </c>
      <c r="D70" s="187" t="s">
        <v>914</v>
      </c>
      <c r="E70" s="187" t="s">
        <v>914</v>
      </c>
      <c r="F70" s="187" t="s">
        <v>914</v>
      </c>
      <c r="G70" s="187" t="s">
        <v>914</v>
      </c>
      <c r="H70" s="187" t="s">
        <v>914</v>
      </c>
      <c r="I70" s="187" t="s">
        <v>914</v>
      </c>
      <c r="J70" s="187" t="s">
        <v>914</v>
      </c>
      <c r="K70" s="188" t="s">
        <v>914</v>
      </c>
      <c r="L70" s="128"/>
    </row>
    <row r="71" spans="1:12" ht="15" customHeight="1">
      <c r="A71" s="230" t="s">
        <v>954</v>
      </c>
      <c r="B71" s="228" t="s">
        <v>702</v>
      </c>
      <c r="C71" s="196" t="s">
        <v>702</v>
      </c>
      <c r="D71" s="197" t="s">
        <v>914</v>
      </c>
      <c r="E71" s="197">
        <v>609724.79</v>
      </c>
      <c r="F71" s="197" t="s">
        <v>914</v>
      </c>
      <c r="G71" s="197">
        <v>609724.79</v>
      </c>
      <c r="H71" s="197" t="s">
        <v>914</v>
      </c>
      <c r="I71" s="197">
        <v>597000</v>
      </c>
      <c r="J71" s="197" t="s">
        <v>914</v>
      </c>
      <c r="K71" s="198">
        <v>597000</v>
      </c>
      <c r="L71" s="128"/>
    </row>
    <row r="72" spans="1:12" ht="15" customHeight="1">
      <c r="A72" s="230" t="s">
        <v>590</v>
      </c>
      <c r="B72" s="228" t="s">
        <v>591</v>
      </c>
      <c r="C72" s="196" t="s">
        <v>591</v>
      </c>
      <c r="D72" s="197" t="s">
        <v>914</v>
      </c>
      <c r="E72" s="197" t="s">
        <v>914</v>
      </c>
      <c r="F72" s="197" t="s">
        <v>914</v>
      </c>
      <c r="G72" s="197" t="s">
        <v>914</v>
      </c>
      <c r="H72" s="197" t="s">
        <v>914</v>
      </c>
      <c r="I72" s="197">
        <v>228000</v>
      </c>
      <c r="J72" s="197" t="s">
        <v>914</v>
      </c>
      <c r="K72" s="198">
        <v>228000</v>
      </c>
      <c r="L72" s="128"/>
    </row>
    <row r="73" spans="1:12" ht="15" customHeight="1" thickBot="1">
      <c r="A73" s="230" t="s">
        <v>592</v>
      </c>
      <c r="B73" s="228" t="s">
        <v>593</v>
      </c>
      <c r="C73" s="201" t="s">
        <v>593</v>
      </c>
      <c r="D73" s="202" t="s">
        <v>914</v>
      </c>
      <c r="E73" s="202" t="s">
        <v>914</v>
      </c>
      <c r="F73" s="202" t="s">
        <v>914</v>
      </c>
      <c r="G73" s="202" t="s">
        <v>914</v>
      </c>
      <c r="H73" s="202" t="s">
        <v>914</v>
      </c>
      <c r="I73" s="202" t="s">
        <v>914</v>
      </c>
      <c r="J73" s="202" t="s">
        <v>914</v>
      </c>
      <c r="K73" s="203" t="s">
        <v>914</v>
      </c>
      <c r="L73" s="128"/>
    </row>
    <row r="74" spans="1:12" ht="6.75" customHeight="1">
      <c r="A74" s="227"/>
      <c r="B74" s="231"/>
      <c r="C74" s="206"/>
      <c r="D74" s="207"/>
      <c r="E74" s="207"/>
      <c r="F74" s="207"/>
      <c r="G74" s="207"/>
      <c r="H74" s="207"/>
      <c r="I74" s="207"/>
      <c r="J74" s="207"/>
      <c r="K74" s="207"/>
      <c r="L74" s="119"/>
    </row>
    <row r="75" spans="1:12" ht="5.25" customHeight="1">
      <c r="A75" s="232"/>
      <c r="B75" s="231"/>
      <c r="C75" s="233"/>
      <c r="D75" s="234"/>
      <c r="E75" s="234"/>
      <c r="F75" s="234"/>
      <c r="G75" s="234"/>
      <c r="H75" s="234"/>
      <c r="I75" s="234"/>
      <c r="J75" s="234"/>
      <c r="K75" s="234"/>
      <c r="L75" s="119"/>
    </row>
    <row r="76" spans="1:12" ht="14.25" customHeight="1">
      <c r="A76" s="208"/>
      <c r="B76" s="209"/>
      <c r="C76" s="210"/>
      <c r="D76" s="211"/>
      <c r="E76" s="211"/>
      <c r="F76" s="211"/>
      <c r="G76" s="211"/>
      <c r="H76" s="211"/>
      <c r="I76" s="211"/>
      <c r="J76" s="212"/>
      <c r="K76" s="213" t="s">
        <v>1000</v>
      </c>
      <c r="L76" s="119"/>
    </row>
    <row r="77" spans="1:12" ht="9.75" customHeight="1">
      <c r="A77" s="507" t="s">
        <v>558</v>
      </c>
      <c r="B77" s="221"/>
      <c r="C77" s="235" t="s">
        <v>901</v>
      </c>
      <c r="D77" s="503" t="s">
        <v>556</v>
      </c>
      <c r="E77" s="503"/>
      <c r="F77" s="503"/>
      <c r="G77" s="503"/>
      <c r="H77" s="504" t="s">
        <v>557</v>
      </c>
      <c r="I77" s="504"/>
      <c r="J77" s="504"/>
      <c r="K77" s="504"/>
      <c r="L77" s="119"/>
    </row>
    <row r="78" spans="1:12" ht="13.5" customHeight="1">
      <c r="A78" s="507"/>
      <c r="B78" s="236"/>
      <c r="C78" s="237" t="s">
        <v>903</v>
      </c>
      <c r="D78" s="505" t="s">
        <v>933</v>
      </c>
      <c r="E78" s="505" t="s">
        <v>934</v>
      </c>
      <c r="F78" s="505" t="s">
        <v>955</v>
      </c>
      <c r="G78" s="505" t="s">
        <v>559</v>
      </c>
      <c r="H78" s="505" t="s">
        <v>933</v>
      </c>
      <c r="I78" s="505" t="s">
        <v>934</v>
      </c>
      <c r="J78" s="505" t="s">
        <v>955</v>
      </c>
      <c r="K78" s="506" t="s">
        <v>559</v>
      </c>
      <c r="L78" s="119"/>
    </row>
    <row r="79" spans="1:12" ht="13.5" customHeight="1">
      <c r="A79" s="507"/>
      <c r="B79" s="236"/>
      <c r="C79" s="237" t="s">
        <v>906</v>
      </c>
      <c r="D79" s="505"/>
      <c r="E79" s="505"/>
      <c r="F79" s="505"/>
      <c r="G79" s="505"/>
      <c r="H79" s="505"/>
      <c r="I79" s="505"/>
      <c r="J79" s="505"/>
      <c r="K79" s="506"/>
      <c r="L79" s="119"/>
    </row>
    <row r="80" spans="1:12" ht="10.5" customHeight="1">
      <c r="A80" s="507"/>
      <c r="B80" s="238"/>
      <c r="C80" s="239"/>
      <c r="D80" s="505"/>
      <c r="E80" s="505"/>
      <c r="F80" s="505"/>
      <c r="G80" s="505"/>
      <c r="H80" s="505"/>
      <c r="I80" s="505"/>
      <c r="J80" s="505"/>
      <c r="K80" s="506"/>
      <c r="L80" s="119"/>
    </row>
    <row r="81" spans="1:12" ht="12" customHeight="1" thickBot="1">
      <c r="A81" s="220">
        <v>1</v>
      </c>
      <c r="B81" s="221"/>
      <c r="C81" s="176" t="s">
        <v>560</v>
      </c>
      <c r="D81" s="177">
        <v>3</v>
      </c>
      <c r="E81" s="177">
        <v>4</v>
      </c>
      <c r="F81" s="177">
        <v>5</v>
      </c>
      <c r="G81" s="177">
        <v>6</v>
      </c>
      <c r="H81" s="177">
        <v>7</v>
      </c>
      <c r="I81" s="177">
        <v>8</v>
      </c>
      <c r="J81" s="177">
        <v>9</v>
      </c>
      <c r="K81" s="222">
        <v>10</v>
      </c>
      <c r="L81" s="119"/>
    </row>
    <row r="82" spans="1:12" ht="15" customHeight="1">
      <c r="A82" s="223" t="s">
        <v>594</v>
      </c>
      <c r="B82" s="190" t="s">
        <v>595</v>
      </c>
      <c r="C82" s="224" t="s">
        <v>595</v>
      </c>
      <c r="D82" s="225" t="s">
        <v>914</v>
      </c>
      <c r="E82" s="225" t="s">
        <v>914</v>
      </c>
      <c r="F82" s="225" t="s">
        <v>914</v>
      </c>
      <c r="G82" s="225" t="s">
        <v>914</v>
      </c>
      <c r="H82" s="225" t="s">
        <v>914</v>
      </c>
      <c r="I82" s="225" t="s">
        <v>914</v>
      </c>
      <c r="J82" s="225" t="s">
        <v>914</v>
      </c>
      <c r="K82" s="226" t="s">
        <v>914</v>
      </c>
      <c r="L82" s="128"/>
    </row>
    <row r="83" spans="1:12" ht="15" customHeight="1">
      <c r="A83" s="227" t="s">
        <v>999</v>
      </c>
      <c r="B83" s="190"/>
      <c r="C83" s="191"/>
      <c r="D83" s="192"/>
      <c r="E83" s="192"/>
      <c r="F83" s="192"/>
      <c r="G83" s="192"/>
      <c r="H83" s="192"/>
      <c r="I83" s="192"/>
      <c r="J83" s="192"/>
      <c r="K83" s="193"/>
      <c r="L83" s="128"/>
    </row>
    <row r="84" spans="1:12" ht="15" customHeight="1">
      <c r="A84" s="229" t="s">
        <v>596</v>
      </c>
      <c r="B84" s="190" t="s">
        <v>597</v>
      </c>
      <c r="C84" s="186" t="s">
        <v>597</v>
      </c>
      <c r="D84" s="187" t="s">
        <v>914</v>
      </c>
      <c r="E84" s="187" t="s">
        <v>914</v>
      </c>
      <c r="F84" s="187" t="s">
        <v>914</v>
      </c>
      <c r="G84" s="187" t="s">
        <v>914</v>
      </c>
      <c r="H84" s="187" t="s">
        <v>914</v>
      </c>
      <c r="I84" s="187" t="s">
        <v>914</v>
      </c>
      <c r="J84" s="187" t="s">
        <v>914</v>
      </c>
      <c r="K84" s="188" t="s">
        <v>914</v>
      </c>
      <c r="L84" s="128"/>
    </row>
    <row r="85" spans="1:12" ht="15" customHeight="1">
      <c r="A85" s="230" t="s">
        <v>956</v>
      </c>
      <c r="B85" s="190" t="s">
        <v>957</v>
      </c>
      <c r="C85" s="196" t="s">
        <v>957</v>
      </c>
      <c r="D85" s="197" t="s">
        <v>914</v>
      </c>
      <c r="E85" s="197" t="s">
        <v>914</v>
      </c>
      <c r="F85" s="197" t="s">
        <v>914</v>
      </c>
      <c r="G85" s="197" t="s">
        <v>914</v>
      </c>
      <c r="H85" s="197" t="s">
        <v>914</v>
      </c>
      <c r="I85" s="197" t="s">
        <v>914</v>
      </c>
      <c r="J85" s="197" t="s">
        <v>914</v>
      </c>
      <c r="K85" s="198" t="s">
        <v>914</v>
      </c>
      <c r="L85" s="128"/>
    </row>
    <row r="86" spans="1:12" ht="15" customHeight="1">
      <c r="A86" s="230" t="s">
        <v>598</v>
      </c>
      <c r="B86" s="190" t="s">
        <v>599</v>
      </c>
      <c r="C86" s="196" t="s">
        <v>599</v>
      </c>
      <c r="D86" s="197" t="s">
        <v>914</v>
      </c>
      <c r="E86" s="197" t="s">
        <v>914</v>
      </c>
      <c r="F86" s="197" t="s">
        <v>914</v>
      </c>
      <c r="G86" s="197" t="s">
        <v>914</v>
      </c>
      <c r="H86" s="197" t="s">
        <v>914</v>
      </c>
      <c r="I86" s="197" t="s">
        <v>914</v>
      </c>
      <c r="J86" s="197" t="s">
        <v>914</v>
      </c>
      <c r="K86" s="198" t="s">
        <v>914</v>
      </c>
      <c r="L86" s="128"/>
    </row>
    <row r="87" spans="1:12" ht="15" customHeight="1">
      <c r="A87" s="230" t="s">
        <v>600</v>
      </c>
      <c r="B87" s="190" t="s">
        <v>601</v>
      </c>
      <c r="C87" s="196" t="s">
        <v>601</v>
      </c>
      <c r="D87" s="197" t="s">
        <v>914</v>
      </c>
      <c r="E87" s="197" t="s">
        <v>914</v>
      </c>
      <c r="F87" s="197" t="s">
        <v>914</v>
      </c>
      <c r="G87" s="197" t="s">
        <v>914</v>
      </c>
      <c r="H87" s="197" t="s">
        <v>914</v>
      </c>
      <c r="I87" s="197" t="s">
        <v>914</v>
      </c>
      <c r="J87" s="197" t="s">
        <v>914</v>
      </c>
      <c r="K87" s="198" t="s">
        <v>914</v>
      </c>
      <c r="L87" s="128"/>
    </row>
    <row r="88" spans="1:12" ht="15" customHeight="1" thickBot="1">
      <c r="A88" s="240" t="s">
        <v>610</v>
      </c>
      <c r="B88" s="190" t="s">
        <v>611</v>
      </c>
      <c r="C88" s="201" t="s">
        <v>611</v>
      </c>
      <c r="D88" s="202" t="s">
        <v>914</v>
      </c>
      <c r="E88" s="202" t="s">
        <v>914</v>
      </c>
      <c r="F88" s="202" t="s">
        <v>914</v>
      </c>
      <c r="G88" s="202" t="s">
        <v>914</v>
      </c>
      <c r="H88" s="202" t="s">
        <v>914</v>
      </c>
      <c r="I88" s="202" t="s">
        <v>914</v>
      </c>
      <c r="J88" s="202" t="s">
        <v>914</v>
      </c>
      <c r="K88" s="203" t="s">
        <v>914</v>
      </c>
      <c r="L88" s="128"/>
    </row>
    <row r="89" spans="1:12" ht="20.25" customHeight="1" thickBot="1">
      <c r="A89" s="241" t="s">
        <v>1001</v>
      </c>
      <c r="B89" s="242" t="s">
        <v>612</v>
      </c>
      <c r="C89" s="243" t="s">
        <v>612</v>
      </c>
      <c r="D89" s="244" t="s">
        <v>914</v>
      </c>
      <c r="E89" s="244">
        <v>33513374.52</v>
      </c>
      <c r="F89" s="244" t="s">
        <v>914</v>
      </c>
      <c r="G89" s="244">
        <v>33513374.52</v>
      </c>
      <c r="H89" s="244" t="s">
        <v>914</v>
      </c>
      <c r="I89" s="244">
        <v>39940924.19</v>
      </c>
      <c r="J89" s="244" t="s">
        <v>914</v>
      </c>
      <c r="K89" s="245">
        <v>39940924.19</v>
      </c>
      <c r="L89" s="128"/>
    </row>
    <row r="90" spans="1:12" ht="15" customHeight="1">
      <c r="A90" s="246" t="s">
        <v>613</v>
      </c>
      <c r="B90" s="247"/>
      <c r="C90" s="181"/>
      <c r="D90" s="248"/>
      <c r="E90" s="248"/>
      <c r="F90" s="248"/>
      <c r="G90" s="248"/>
      <c r="H90" s="248"/>
      <c r="I90" s="248"/>
      <c r="J90" s="248"/>
      <c r="K90" s="249"/>
      <c r="L90" s="128"/>
    </row>
    <row r="91" spans="1:12" ht="15" customHeight="1">
      <c r="A91" s="250" t="s">
        <v>958</v>
      </c>
      <c r="B91" s="190" t="s">
        <v>614</v>
      </c>
      <c r="C91" s="186" t="s">
        <v>614</v>
      </c>
      <c r="D91" s="187">
        <v>1151207.17</v>
      </c>
      <c r="E91" s="187">
        <v>3491983.7</v>
      </c>
      <c r="F91" s="187">
        <v>419240</v>
      </c>
      <c r="G91" s="187">
        <v>5062430.87</v>
      </c>
      <c r="H91" s="187">
        <v>51555409.89</v>
      </c>
      <c r="I91" s="187">
        <v>1672911.44</v>
      </c>
      <c r="J91" s="187">
        <v>975978.9</v>
      </c>
      <c r="K91" s="188">
        <v>54204300.23</v>
      </c>
      <c r="L91" s="128"/>
    </row>
    <row r="92" spans="1:12" ht="15" customHeight="1">
      <c r="A92" s="251" t="s">
        <v>248</v>
      </c>
      <c r="B92" s="190"/>
      <c r="C92" s="191"/>
      <c r="D92" s="192"/>
      <c r="E92" s="192"/>
      <c r="F92" s="192"/>
      <c r="G92" s="192"/>
      <c r="H92" s="192"/>
      <c r="I92" s="192"/>
      <c r="J92" s="192"/>
      <c r="K92" s="193"/>
      <c r="L92" s="128"/>
    </row>
    <row r="93" spans="1:12" ht="21" customHeight="1">
      <c r="A93" s="229" t="s">
        <v>615</v>
      </c>
      <c r="B93" s="190" t="s">
        <v>616</v>
      </c>
      <c r="C93" s="186" t="s">
        <v>616</v>
      </c>
      <c r="D93" s="187">
        <v>1151207.17</v>
      </c>
      <c r="E93" s="187">
        <v>3491983.7</v>
      </c>
      <c r="F93" s="187">
        <v>419240</v>
      </c>
      <c r="G93" s="187">
        <v>5062430.87</v>
      </c>
      <c r="H93" s="187">
        <v>51555409.89</v>
      </c>
      <c r="I93" s="187">
        <v>1672911.44</v>
      </c>
      <c r="J93" s="187">
        <v>975978.9</v>
      </c>
      <c r="K93" s="188">
        <v>54204300.23</v>
      </c>
      <c r="L93" s="128"/>
    </row>
    <row r="94" spans="1:12" ht="21" customHeight="1">
      <c r="A94" s="230" t="s">
        <v>959</v>
      </c>
      <c r="B94" s="190" t="s">
        <v>617</v>
      </c>
      <c r="C94" s="196" t="s">
        <v>617</v>
      </c>
      <c r="D94" s="197" t="s">
        <v>914</v>
      </c>
      <c r="E94" s="197" t="s">
        <v>914</v>
      </c>
      <c r="F94" s="197" t="s">
        <v>914</v>
      </c>
      <c r="G94" s="197" t="s">
        <v>914</v>
      </c>
      <c r="H94" s="197" t="s">
        <v>914</v>
      </c>
      <c r="I94" s="197" t="s">
        <v>914</v>
      </c>
      <c r="J94" s="197" t="s">
        <v>914</v>
      </c>
      <c r="K94" s="198" t="s">
        <v>914</v>
      </c>
      <c r="L94" s="128"/>
    </row>
    <row r="95" spans="1:12" ht="21" customHeight="1">
      <c r="A95" s="230" t="s">
        <v>960</v>
      </c>
      <c r="B95" s="190" t="s">
        <v>618</v>
      </c>
      <c r="C95" s="196" t="s">
        <v>618</v>
      </c>
      <c r="D95" s="197" t="s">
        <v>914</v>
      </c>
      <c r="E95" s="197" t="s">
        <v>914</v>
      </c>
      <c r="F95" s="197" t="s">
        <v>914</v>
      </c>
      <c r="G95" s="197" t="s">
        <v>914</v>
      </c>
      <c r="H95" s="197" t="s">
        <v>914</v>
      </c>
      <c r="I95" s="197" t="s">
        <v>914</v>
      </c>
      <c r="J95" s="197" t="s">
        <v>914</v>
      </c>
      <c r="K95" s="198" t="s">
        <v>914</v>
      </c>
      <c r="L95" s="128"/>
    </row>
    <row r="96" spans="1:12" ht="21" customHeight="1">
      <c r="A96" s="230" t="s">
        <v>619</v>
      </c>
      <c r="B96" s="190" t="s">
        <v>620</v>
      </c>
      <c r="C96" s="196" t="s">
        <v>620</v>
      </c>
      <c r="D96" s="197" t="s">
        <v>914</v>
      </c>
      <c r="E96" s="197" t="s">
        <v>914</v>
      </c>
      <c r="F96" s="197" t="s">
        <v>914</v>
      </c>
      <c r="G96" s="197" t="s">
        <v>914</v>
      </c>
      <c r="H96" s="197" t="s">
        <v>914</v>
      </c>
      <c r="I96" s="197" t="s">
        <v>914</v>
      </c>
      <c r="J96" s="197" t="s">
        <v>914</v>
      </c>
      <c r="K96" s="198" t="s">
        <v>914</v>
      </c>
      <c r="L96" s="128"/>
    </row>
    <row r="97" spans="1:12" ht="21" customHeight="1">
      <c r="A97" s="230" t="s">
        <v>621</v>
      </c>
      <c r="B97" s="190" t="s">
        <v>622</v>
      </c>
      <c r="C97" s="196" t="s">
        <v>622</v>
      </c>
      <c r="D97" s="197" t="s">
        <v>914</v>
      </c>
      <c r="E97" s="197" t="s">
        <v>914</v>
      </c>
      <c r="F97" s="197" t="s">
        <v>914</v>
      </c>
      <c r="G97" s="197" t="s">
        <v>914</v>
      </c>
      <c r="H97" s="197" t="s">
        <v>914</v>
      </c>
      <c r="I97" s="197" t="s">
        <v>914</v>
      </c>
      <c r="J97" s="197" t="s">
        <v>914</v>
      </c>
      <c r="K97" s="198" t="s">
        <v>914</v>
      </c>
      <c r="L97" s="128"/>
    </row>
    <row r="98" spans="1:12" ht="21" customHeight="1">
      <c r="A98" s="230" t="s">
        <v>623</v>
      </c>
      <c r="B98" s="190" t="s">
        <v>624</v>
      </c>
      <c r="C98" s="196" t="s">
        <v>624</v>
      </c>
      <c r="D98" s="197" t="s">
        <v>914</v>
      </c>
      <c r="E98" s="197" t="s">
        <v>914</v>
      </c>
      <c r="F98" s="197" t="s">
        <v>914</v>
      </c>
      <c r="G98" s="197" t="s">
        <v>914</v>
      </c>
      <c r="H98" s="197" t="s">
        <v>914</v>
      </c>
      <c r="I98" s="197" t="s">
        <v>914</v>
      </c>
      <c r="J98" s="197" t="s">
        <v>914</v>
      </c>
      <c r="K98" s="198" t="s">
        <v>914</v>
      </c>
      <c r="L98" s="128"/>
    </row>
    <row r="99" spans="1:12" ht="15" customHeight="1">
      <c r="A99" s="230" t="s">
        <v>625</v>
      </c>
      <c r="B99" s="190" t="s">
        <v>626</v>
      </c>
      <c r="C99" s="196" t="s">
        <v>626</v>
      </c>
      <c r="D99" s="197" t="s">
        <v>914</v>
      </c>
      <c r="E99" s="197" t="s">
        <v>914</v>
      </c>
      <c r="F99" s="197" t="s">
        <v>914</v>
      </c>
      <c r="G99" s="197" t="s">
        <v>914</v>
      </c>
      <c r="H99" s="197" t="s">
        <v>914</v>
      </c>
      <c r="I99" s="197" t="s">
        <v>914</v>
      </c>
      <c r="J99" s="197" t="s">
        <v>914</v>
      </c>
      <c r="K99" s="198" t="s">
        <v>914</v>
      </c>
      <c r="L99" s="128"/>
    </row>
    <row r="100" spans="1:12" ht="15" customHeight="1">
      <c r="A100" s="230" t="s">
        <v>627</v>
      </c>
      <c r="B100" s="190" t="s">
        <v>628</v>
      </c>
      <c r="C100" s="196" t="s">
        <v>628</v>
      </c>
      <c r="D100" s="197" t="s">
        <v>914</v>
      </c>
      <c r="E100" s="197" t="s">
        <v>914</v>
      </c>
      <c r="F100" s="197" t="s">
        <v>914</v>
      </c>
      <c r="G100" s="197" t="s">
        <v>914</v>
      </c>
      <c r="H100" s="197" t="s">
        <v>914</v>
      </c>
      <c r="I100" s="197" t="s">
        <v>914</v>
      </c>
      <c r="J100" s="197" t="s">
        <v>914</v>
      </c>
      <c r="K100" s="198" t="s">
        <v>914</v>
      </c>
      <c r="L100" s="128"/>
    </row>
    <row r="101" spans="1:12" ht="20.25" customHeight="1">
      <c r="A101" s="230" t="s">
        <v>629</v>
      </c>
      <c r="B101" s="190" t="s">
        <v>630</v>
      </c>
      <c r="C101" s="196" t="s">
        <v>630</v>
      </c>
      <c r="D101" s="197" t="s">
        <v>914</v>
      </c>
      <c r="E101" s="197" t="s">
        <v>914</v>
      </c>
      <c r="F101" s="197" t="s">
        <v>914</v>
      </c>
      <c r="G101" s="197" t="s">
        <v>914</v>
      </c>
      <c r="H101" s="197" t="s">
        <v>914</v>
      </c>
      <c r="I101" s="197" t="s">
        <v>914</v>
      </c>
      <c r="J101" s="197" t="s">
        <v>914</v>
      </c>
      <c r="K101" s="198" t="s">
        <v>914</v>
      </c>
      <c r="L101" s="128"/>
    </row>
    <row r="102" spans="1:12" ht="15" customHeight="1">
      <c r="A102" s="199" t="s">
        <v>961</v>
      </c>
      <c r="B102" s="190" t="s">
        <v>631</v>
      </c>
      <c r="C102" s="196" t="s">
        <v>631</v>
      </c>
      <c r="D102" s="197" t="s">
        <v>914</v>
      </c>
      <c r="E102" s="197" t="s">
        <v>914</v>
      </c>
      <c r="F102" s="197" t="s">
        <v>914</v>
      </c>
      <c r="G102" s="197" t="s">
        <v>914</v>
      </c>
      <c r="H102" s="197" t="s">
        <v>914</v>
      </c>
      <c r="I102" s="197" t="s">
        <v>914</v>
      </c>
      <c r="J102" s="197" t="s">
        <v>914</v>
      </c>
      <c r="K102" s="198" t="s">
        <v>914</v>
      </c>
      <c r="L102" s="128"/>
    </row>
    <row r="103" spans="1:12" ht="15" customHeight="1">
      <c r="A103" s="251" t="s">
        <v>1002</v>
      </c>
      <c r="B103" s="190"/>
      <c r="C103" s="191"/>
      <c r="D103" s="192"/>
      <c r="E103" s="192"/>
      <c r="F103" s="192"/>
      <c r="G103" s="192"/>
      <c r="H103" s="192"/>
      <c r="I103" s="192"/>
      <c r="J103" s="192"/>
      <c r="K103" s="193"/>
      <c r="L103" s="128"/>
    </row>
    <row r="104" spans="1:12" ht="15" customHeight="1">
      <c r="A104" s="229" t="s">
        <v>962</v>
      </c>
      <c r="B104" s="190" t="s">
        <v>633</v>
      </c>
      <c r="C104" s="186" t="s">
        <v>633</v>
      </c>
      <c r="D104" s="187" t="s">
        <v>914</v>
      </c>
      <c r="E104" s="187" t="s">
        <v>914</v>
      </c>
      <c r="F104" s="187" t="s">
        <v>914</v>
      </c>
      <c r="G104" s="187" t="s">
        <v>914</v>
      </c>
      <c r="H104" s="187" t="s">
        <v>914</v>
      </c>
      <c r="I104" s="187" t="s">
        <v>914</v>
      </c>
      <c r="J104" s="187" t="s">
        <v>914</v>
      </c>
      <c r="K104" s="188" t="s">
        <v>914</v>
      </c>
      <c r="L104" s="128"/>
    </row>
    <row r="105" spans="1:12" ht="15" customHeight="1">
      <c r="A105" s="230" t="s">
        <v>634</v>
      </c>
      <c r="B105" s="190" t="s">
        <v>635</v>
      </c>
      <c r="C105" s="196" t="s">
        <v>635</v>
      </c>
      <c r="D105" s="197" t="s">
        <v>914</v>
      </c>
      <c r="E105" s="197" t="s">
        <v>914</v>
      </c>
      <c r="F105" s="197" t="s">
        <v>914</v>
      </c>
      <c r="G105" s="197" t="s">
        <v>914</v>
      </c>
      <c r="H105" s="197" t="s">
        <v>914</v>
      </c>
      <c r="I105" s="197" t="s">
        <v>914</v>
      </c>
      <c r="J105" s="197" t="s">
        <v>914</v>
      </c>
      <c r="K105" s="198" t="s">
        <v>914</v>
      </c>
      <c r="L105" s="128"/>
    </row>
    <row r="106" spans="1:12" ht="15" customHeight="1" thickBot="1">
      <c r="A106" s="230" t="s">
        <v>636</v>
      </c>
      <c r="B106" s="190" t="s">
        <v>637</v>
      </c>
      <c r="C106" s="201" t="s">
        <v>637</v>
      </c>
      <c r="D106" s="202" t="s">
        <v>914</v>
      </c>
      <c r="E106" s="202" t="s">
        <v>914</v>
      </c>
      <c r="F106" s="202" t="s">
        <v>914</v>
      </c>
      <c r="G106" s="202" t="s">
        <v>914</v>
      </c>
      <c r="H106" s="202" t="s">
        <v>914</v>
      </c>
      <c r="I106" s="202" t="s">
        <v>914</v>
      </c>
      <c r="J106" s="202" t="s">
        <v>914</v>
      </c>
      <c r="K106" s="203" t="s">
        <v>914</v>
      </c>
      <c r="L106" s="128"/>
    </row>
    <row r="107" spans="1:12" ht="6.75" customHeight="1">
      <c r="A107" s="251"/>
      <c r="B107" s="135"/>
      <c r="C107" s="206"/>
      <c r="D107" s="206"/>
      <c r="E107" s="252"/>
      <c r="F107" s="252"/>
      <c r="G107" s="252"/>
      <c r="H107" s="252"/>
      <c r="I107" s="252"/>
      <c r="J107" s="252"/>
      <c r="K107" s="253"/>
      <c r="L107" s="119"/>
    </row>
    <row r="108" spans="1:12" ht="5.25" customHeight="1">
      <c r="A108" s="232"/>
      <c r="B108" s="135"/>
      <c r="C108" s="233"/>
      <c r="D108" s="233"/>
      <c r="E108" s="124"/>
      <c r="F108" s="124"/>
      <c r="G108" s="124"/>
      <c r="H108" s="124"/>
      <c r="I108" s="124"/>
      <c r="J108" s="124"/>
      <c r="K108" s="254"/>
      <c r="L108" s="119"/>
    </row>
    <row r="109" spans="1:12" ht="12" customHeight="1">
      <c r="A109" s="209"/>
      <c r="B109" s="209"/>
      <c r="C109" s="210"/>
      <c r="D109" s="211"/>
      <c r="E109" s="211"/>
      <c r="F109" s="211"/>
      <c r="G109" s="211"/>
      <c r="H109" s="211"/>
      <c r="I109" s="211"/>
      <c r="J109" s="212"/>
      <c r="K109" s="213" t="s">
        <v>963</v>
      </c>
      <c r="L109" s="119"/>
    </row>
    <row r="110" spans="1:12" ht="15.75" customHeight="1">
      <c r="A110" s="507" t="s">
        <v>558</v>
      </c>
      <c r="B110" s="221"/>
      <c r="C110" s="255" t="s">
        <v>1003</v>
      </c>
      <c r="D110" s="503" t="s">
        <v>556</v>
      </c>
      <c r="E110" s="503"/>
      <c r="F110" s="503"/>
      <c r="G110" s="503"/>
      <c r="H110" s="504" t="s">
        <v>557</v>
      </c>
      <c r="I110" s="504"/>
      <c r="J110" s="504"/>
      <c r="K110" s="504"/>
      <c r="L110" s="119"/>
    </row>
    <row r="111" spans="1:12" ht="12.75" customHeight="1">
      <c r="A111" s="507"/>
      <c r="B111" s="236"/>
      <c r="C111" s="256" t="s">
        <v>903</v>
      </c>
      <c r="D111" s="505" t="s">
        <v>933</v>
      </c>
      <c r="E111" s="505" t="s">
        <v>934</v>
      </c>
      <c r="F111" s="166" t="s">
        <v>905</v>
      </c>
      <c r="G111" s="505" t="s">
        <v>559</v>
      </c>
      <c r="H111" s="505" t="s">
        <v>933</v>
      </c>
      <c r="I111" s="505" t="s">
        <v>934</v>
      </c>
      <c r="J111" s="166" t="s">
        <v>905</v>
      </c>
      <c r="K111" s="506" t="s">
        <v>559</v>
      </c>
      <c r="L111" s="119"/>
    </row>
    <row r="112" spans="1:12" ht="12.75" customHeight="1">
      <c r="A112" s="507"/>
      <c r="B112" s="236"/>
      <c r="C112" s="256" t="s">
        <v>906</v>
      </c>
      <c r="D112" s="505"/>
      <c r="E112" s="505"/>
      <c r="F112" s="169" t="s">
        <v>909</v>
      </c>
      <c r="G112" s="505"/>
      <c r="H112" s="505"/>
      <c r="I112" s="505"/>
      <c r="J112" s="169" t="s">
        <v>909</v>
      </c>
      <c r="K112" s="506"/>
      <c r="L112" s="119"/>
    </row>
    <row r="113" spans="1:12" ht="16.5" customHeight="1">
      <c r="A113" s="507"/>
      <c r="B113" s="238"/>
      <c r="C113" s="257"/>
      <c r="D113" s="505"/>
      <c r="E113" s="505"/>
      <c r="F113" s="173" t="s">
        <v>912</v>
      </c>
      <c r="G113" s="505"/>
      <c r="H113" s="505"/>
      <c r="I113" s="505"/>
      <c r="J113" s="173" t="s">
        <v>912</v>
      </c>
      <c r="K113" s="506"/>
      <c r="L113" s="119"/>
    </row>
    <row r="114" spans="1:12" ht="15.75" customHeight="1" thickBot="1">
      <c r="A114" s="220">
        <v>1</v>
      </c>
      <c r="B114" s="221"/>
      <c r="C114" s="176" t="s">
        <v>560</v>
      </c>
      <c r="D114" s="177">
        <v>3</v>
      </c>
      <c r="E114" s="177">
        <v>4</v>
      </c>
      <c r="F114" s="177">
        <v>5</v>
      </c>
      <c r="G114" s="177">
        <v>6</v>
      </c>
      <c r="H114" s="177">
        <v>7</v>
      </c>
      <c r="I114" s="177">
        <v>8</v>
      </c>
      <c r="J114" s="177">
        <v>9</v>
      </c>
      <c r="K114" s="222">
        <v>10</v>
      </c>
      <c r="L114" s="119"/>
    </row>
    <row r="115" spans="1:12" ht="15" customHeight="1">
      <c r="A115" s="223" t="s">
        <v>1004</v>
      </c>
      <c r="B115" s="190" t="s">
        <v>638</v>
      </c>
      <c r="C115" s="224" t="s">
        <v>638</v>
      </c>
      <c r="D115" s="225" t="s">
        <v>914</v>
      </c>
      <c r="E115" s="225">
        <v>57904053.33</v>
      </c>
      <c r="F115" s="225" t="s">
        <v>914</v>
      </c>
      <c r="G115" s="225">
        <v>57904053.33</v>
      </c>
      <c r="H115" s="225">
        <v>-51483868</v>
      </c>
      <c r="I115" s="225">
        <v>63977790.87</v>
      </c>
      <c r="J115" s="225" t="s">
        <v>914</v>
      </c>
      <c r="K115" s="226">
        <v>12493922.87</v>
      </c>
      <c r="L115" s="128"/>
    </row>
    <row r="116" spans="1:12" ht="15" customHeight="1">
      <c r="A116" s="199" t="s">
        <v>964</v>
      </c>
      <c r="B116" s="190" t="s">
        <v>639</v>
      </c>
      <c r="C116" s="196" t="s">
        <v>639</v>
      </c>
      <c r="D116" s="197">
        <v>2989856.5</v>
      </c>
      <c r="E116" s="197">
        <v>315575.12</v>
      </c>
      <c r="F116" s="197" t="s">
        <v>914</v>
      </c>
      <c r="G116" s="197">
        <v>3305431.62</v>
      </c>
      <c r="H116" s="197">
        <v>3219198.46</v>
      </c>
      <c r="I116" s="197">
        <v>21724.58</v>
      </c>
      <c r="J116" s="197" t="s">
        <v>914</v>
      </c>
      <c r="K116" s="198">
        <v>3240923.04</v>
      </c>
      <c r="L116" s="128"/>
    </row>
    <row r="117" spans="1:12" ht="15" customHeight="1">
      <c r="A117" s="199" t="s">
        <v>965</v>
      </c>
      <c r="B117" s="190" t="s">
        <v>640</v>
      </c>
      <c r="C117" s="196" t="s">
        <v>640</v>
      </c>
      <c r="D117" s="197" t="s">
        <v>914</v>
      </c>
      <c r="E117" s="197" t="s">
        <v>914</v>
      </c>
      <c r="F117" s="197" t="s">
        <v>914</v>
      </c>
      <c r="G117" s="197" t="s">
        <v>914</v>
      </c>
      <c r="H117" s="197" t="s">
        <v>914</v>
      </c>
      <c r="I117" s="197" t="s">
        <v>914</v>
      </c>
      <c r="J117" s="197" t="s">
        <v>914</v>
      </c>
      <c r="K117" s="198" t="s">
        <v>914</v>
      </c>
      <c r="L117" s="128"/>
    </row>
    <row r="118" spans="1:12" ht="15" customHeight="1">
      <c r="A118" s="227" t="s">
        <v>1002</v>
      </c>
      <c r="B118" s="228"/>
      <c r="C118" s="191"/>
      <c r="D118" s="192"/>
      <c r="E118" s="192"/>
      <c r="F118" s="192"/>
      <c r="G118" s="192"/>
      <c r="H118" s="192"/>
      <c r="I118" s="192"/>
      <c r="J118" s="192"/>
      <c r="K118" s="193"/>
      <c r="L118" s="128"/>
    </row>
    <row r="119" spans="1:12" ht="15" customHeight="1">
      <c r="A119" s="229" t="s">
        <v>966</v>
      </c>
      <c r="B119" s="228" t="s">
        <v>641</v>
      </c>
      <c r="C119" s="186" t="s">
        <v>641</v>
      </c>
      <c r="D119" s="187" t="s">
        <v>914</v>
      </c>
      <c r="E119" s="187" t="s">
        <v>914</v>
      </c>
      <c r="F119" s="187" t="s">
        <v>914</v>
      </c>
      <c r="G119" s="187" t="s">
        <v>914</v>
      </c>
      <c r="H119" s="187" t="s">
        <v>914</v>
      </c>
      <c r="I119" s="187" t="s">
        <v>914</v>
      </c>
      <c r="J119" s="187" t="s">
        <v>914</v>
      </c>
      <c r="K119" s="188" t="s">
        <v>914</v>
      </c>
      <c r="L119" s="128"/>
    </row>
    <row r="120" spans="1:12" ht="15" customHeight="1">
      <c r="A120" s="230" t="s">
        <v>642</v>
      </c>
      <c r="B120" s="228" t="s">
        <v>643</v>
      </c>
      <c r="C120" s="196" t="s">
        <v>643</v>
      </c>
      <c r="D120" s="197" t="s">
        <v>914</v>
      </c>
      <c r="E120" s="197" t="s">
        <v>914</v>
      </c>
      <c r="F120" s="197" t="s">
        <v>914</v>
      </c>
      <c r="G120" s="197" t="s">
        <v>914</v>
      </c>
      <c r="H120" s="197" t="s">
        <v>914</v>
      </c>
      <c r="I120" s="197" t="s">
        <v>914</v>
      </c>
      <c r="J120" s="197" t="s">
        <v>914</v>
      </c>
      <c r="K120" s="198" t="s">
        <v>914</v>
      </c>
      <c r="L120" s="128"/>
    </row>
    <row r="121" spans="1:12" ht="15" customHeight="1">
      <c r="A121" s="199" t="s">
        <v>967</v>
      </c>
      <c r="B121" s="190" t="s">
        <v>644</v>
      </c>
      <c r="C121" s="196" t="s">
        <v>644</v>
      </c>
      <c r="D121" s="197" t="s">
        <v>914</v>
      </c>
      <c r="E121" s="197">
        <v>54510.52</v>
      </c>
      <c r="F121" s="197" t="s">
        <v>914</v>
      </c>
      <c r="G121" s="197">
        <v>54510.52</v>
      </c>
      <c r="H121" s="197" t="s">
        <v>914</v>
      </c>
      <c r="I121" s="197">
        <v>68877</v>
      </c>
      <c r="J121" s="197" t="s">
        <v>914</v>
      </c>
      <c r="K121" s="198">
        <v>68877</v>
      </c>
      <c r="L121" s="128"/>
    </row>
    <row r="122" spans="1:12" ht="15" customHeight="1">
      <c r="A122" s="199" t="s">
        <v>645</v>
      </c>
      <c r="B122" s="190" t="s">
        <v>646</v>
      </c>
      <c r="C122" s="196" t="s">
        <v>646</v>
      </c>
      <c r="D122" s="197" t="s">
        <v>914</v>
      </c>
      <c r="E122" s="197">
        <v>1103708.64</v>
      </c>
      <c r="F122" s="197" t="s">
        <v>914</v>
      </c>
      <c r="G122" s="197">
        <v>1103708.64</v>
      </c>
      <c r="H122" s="197" t="s">
        <v>914</v>
      </c>
      <c r="I122" s="197">
        <v>1103708.64</v>
      </c>
      <c r="J122" s="197" t="s">
        <v>914</v>
      </c>
      <c r="K122" s="198">
        <v>1103708.64</v>
      </c>
      <c r="L122" s="128"/>
    </row>
    <row r="123" spans="1:12" ht="15" customHeight="1">
      <c r="A123" s="199" t="s">
        <v>647</v>
      </c>
      <c r="B123" s="190" t="s">
        <v>648</v>
      </c>
      <c r="C123" s="196" t="s">
        <v>648</v>
      </c>
      <c r="D123" s="197" t="s">
        <v>914</v>
      </c>
      <c r="E123" s="197">
        <v>-25205764.37</v>
      </c>
      <c r="F123" s="197" t="s">
        <v>914</v>
      </c>
      <c r="G123" s="197">
        <v>-25205764.37</v>
      </c>
      <c r="H123" s="197" t="s">
        <v>914</v>
      </c>
      <c r="I123" s="197">
        <v>-34127152.88</v>
      </c>
      <c r="J123" s="197" t="s">
        <v>914</v>
      </c>
      <c r="K123" s="198">
        <v>-34127152.88</v>
      </c>
      <c r="L123" s="128"/>
    </row>
    <row r="124" spans="1:12" ht="15" customHeight="1">
      <c r="A124" s="251" t="s">
        <v>1002</v>
      </c>
      <c r="B124" s="190"/>
      <c r="C124" s="191"/>
      <c r="D124" s="192"/>
      <c r="E124" s="192"/>
      <c r="F124" s="192"/>
      <c r="G124" s="192"/>
      <c r="H124" s="192"/>
      <c r="I124" s="192"/>
      <c r="J124" s="192"/>
      <c r="K124" s="193"/>
      <c r="L124" s="128"/>
    </row>
    <row r="125" spans="1:12" ht="20.25" customHeight="1">
      <c r="A125" s="229" t="s">
        <v>968</v>
      </c>
      <c r="B125" s="228" t="s">
        <v>649</v>
      </c>
      <c r="C125" s="186" t="s">
        <v>649</v>
      </c>
      <c r="D125" s="187" t="s">
        <v>914</v>
      </c>
      <c r="E125" s="187" t="s">
        <v>914</v>
      </c>
      <c r="F125" s="187" t="s">
        <v>914</v>
      </c>
      <c r="G125" s="187" t="s">
        <v>914</v>
      </c>
      <c r="H125" s="187" t="s">
        <v>914</v>
      </c>
      <c r="I125" s="187" t="s">
        <v>914</v>
      </c>
      <c r="J125" s="187" t="s">
        <v>914</v>
      </c>
      <c r="K125" s="188" t="s">
        <v>914</v>
      </c>
      <c r="L125" s="128"/>
    </row>
    <row r="126" spans="1:12" ht="17.25" customHeight="1">
      <c r="A126" s="230" t="s">
        <v>969</v>
      </c>
      <c r="B126" s="228" t="s">
        <v>650</v>
      </c>
      <c r="C126" s="196" t="s">
        <v>650</v>
      </c>
      <c r="D126" s="197" t="s">
        <v>914</v>
      </c>
      <c r="E126" s="197" t="s">
        <v>914</v>
      </c>
      <c r="F126" s="197" t="s">
        <v>914</v>
      </c>
      <c r="G126" s="197" t="s">
        <v>914</v>
      </c>
      <c r="H126" s="197" t="s">
        <v>914</v>
      </c>
      <c r="I126" s="197" t="s">
        <v>914</v>
      </c>
      <c r="J126" s="197" t="s">
        <v>914</v>
      </c>
      <c r="K126" s="198" t="s">
        <v>914</v>
      </c>
      <c r="L126" s="128"/>
    </row>
    <row r="127" spans="1:12" ht="15" customHeight="1">
      <c r="A127" s="230" t="s">
        <v>970</v>
      </c>
      <c r="B127" s="228" t="s">
        <v>971</v>
      </c>
      <c r="C127" s="196" t="s">
        <v>971</v>
      </c>
      <c r="D127" s="197" t="s">
        <v>914</v>
      </c>
      <c r="E127" s="197" t="s">
        <v>914</v>
      </c>
      <c r="F127" s="197" t="s">
        <v>914</v>
      </c>
      <c r="G127" s="197" t="s">
        <v>914</v>
      </c>
      <c r="H127" s="197" t="s">
        <v>914</v>
      </c>
      <c r="I127" s="197" t="s">
        <v>914</v>
      </c>
      <c r="J127" s="197" t="s">
        <v>914</v>
      </c>
      <c r="K127" s="198" t="s">
        <v>914</v>
      </c>
      <c r="L127" s="128"/>
    </row>
    <row r="128" spans="1:12" ht="15" customHeight="1">
      <c r="A128" s="230" t="s">
        <v>972</v>
      </c>
      <c r="B128" s="228" t="s">
        <v>973</v>
      </c>
      <c r="C128" s="196" t="s">
        <v>973</v>
      </c>
      <c r="D128" s="258" t="s">
        <v>974</v>
      </c>
      <c r="E128" s="197">
        <v>-283539939.1</v>
      </c>
      <c r="F128" s="258" t="s">
        <v>974</v>
      </c>
      <c r="G128" s="197">
        <v>-283539939.1</v>
      </c>
      <c r="H128" s="258" t="s">
        <v>974</v>
      </c>
      <c r="I128" s="197">
        <v>-296996948.2</v>
      </c>
      <c r="J128" s="258" t="s">
        <v>974</v>
      </c>
      <c r="K128" s="198">
        <v>-296996948.2</v>
      </c>
      <c r="L128" s="128"/>
    </row>
    <row r="129" spans="1:12" ht="15" customHeight="1">
      <c r="A129" s="230" t="s">
        <v>975</v>
      </c>
      <c r="B129" s="228" t="s">
        <v>976</v>
      </c>
      <c r="C129" s="196" t="s">
        <v>976</v>
      </c>
      <c r="D129" s="258" t="s">
        <v>974</v>
      </c>
      <c r="E129" s="197">
        <v>258334174.73</v>
      </c>
      <c r="F129" s="258" t="s">
        <v>974</v>
      </c>
      <c r="G129" s="197">
        <v>258334174.73</v>
      </c>
      <c r="H129" s="258" t="s">
        <v>974</v>
      </c>
      <c r="I129" s="197">
        <v>262869795.32</v>
      </c>
      <c r="J129" s="258" t="s">
        <v>974</v>
      </c>
      <c r="K129" s="198">
        <v>262869795.32</v>
      </c>
      <c r="L129" s="128"/>
    </row>
    <row r="130" spans="1:12" ht="15" customHeight="1">
      <c r="A130" s="230" t="s">
        <v>977</v>
      </c>
      <c r="B130" s="228" t="s">
        <v>978</v>
      </c>
      <c r="C130" s="196" t="s">
        <v>978</v>
      </c>
      <c r="D130" s="258" t="s">
        <v>974</v>
      </c>
      <c r="E130" s="197">
        <v>-25205764.37</v>
      </c>
      <c r="F130" s="258" t="s">
        <v>974</v>
      </c>
      <c r="G130" s="197">
        <v>-25205764.37</v>
      </c>
      <c r="H130" s="258" t="s">
        <v>974</v>
      </c>
      <c r="I130" s="197">
        <v>-34127152.88</v>
      </c>
      <c r="J130" s="258" t="s">
        <v>974</v>
      </c>
      <c r="K130" s="198">
        <v>-34127152.88</v>
      </c>
      <c r="L130" s="128"/>
    </row>
    <row r="131" spans="1:12" ht="15" customHeight="1">
      <c r="A131" s="199" t="s">
        <v>651</v>
      </c>
      <c r="B131" s="190" t="s">
        <v>652</v>
      </c>
      <c r="C131" s="196" t="s">
        <v>652</v>
      </c>
      <c r="D131" s="197" t="s">
        <v>914</v>
      </c>
      <c r="E131" s="197" t="s">
        <v>914</v>
      </c>
      <c r="F131" s="197" t="s">
        <v>914</v>
      </c>
      <c r="G131" s="197" t="s">
        <v>914</v>
      </c>
      <c r="H131" s="197" t="s">
        <v>914</v>
      </c>
      <c r="I131" s="197" t="s">
        <v>914</v>
      </c>
      <c r="J131" s="197" t="s">
        <v>914</v>
      </c>
      <c r="K131" s="198" t="s">
        <v>914</v>
      </c>
      <c r="L131" s="128"/>
    </row>
    <row r="132" spans="1:12" ht="15" customHeight="1">
      <c r="A132" s="251" t="s">
        <v>1002</v>
      </c>
      <c r="B132" s="190"/>
      <c r="C132" s="191"/>
      <c r="D132" s="192"/>
      <c r="E132" s="192"/>
      <c r="F132" s="192"/>
      <c r="G132" s="192"/>
      <c r="H132" s="192"/>
      <c r="I132" s="192"/>
      <c r="J132" s="192"/>
      <c r="K132" s="193"/>
      <c r="L132" s="128"/>
    </row>
    <row r="133" spans="1:12" ht="15" customHeight="1">
      <c r="A133" s="229" t="s">
        <v>979</v>
      </c>
      <c r="B133" s="228" t="s">
        <v>653</v>
      </c>
      <c r="C133" s="186" t="s">
        <v>653</v>
      </c>
      <c r="D133" s="187" t="s">
        <v>914</v>
      </c>
      <c r="E133" s="187" t="s">
        <v>914</v>
      </c>
      <c r="F133" s="187" t="s">
        <v>914</v>
      </c>
      <c r="G133" s="187" t="s">
        <v>914</v>
      </c>
      <c r="H133" s="187" t="s">
        <v>914</v>
      </c>
      <c r="I133" s="187" t="s">
        <v>914</v>
      </c>
      <c r="J133" s="187" t="s">
        <v>914</v>
      </c>
      <c r="K133" s="188" t="s">
        <v>914</v>
      </c>
      <c r="L133" s="128"/>
    </row>
    <row r="134" spans="1:12" ht="15" customHeight="1">
      <c r="A134" s="259" t="s">
        <v>654</v>
      </c>
      <c r="B134" s="260" t="s">
        <v>655</v>
      </c>
      <c r="C134" s="196" t="s">
        <v>655</v>
      </c>
      <c r="D134" s="197" t="s">
        <v>914</v>
      </c>
      <c r="E134" s="197" t="s">
        <v>914</v>
      </c>
      <c r="F134" s="197" t="s">
        <v>914</v>
      </c>
      <c r="G134" s="197" t="s">
        <v>914</v>
      </c>
      <c r="H134" s="197" t="s">
        <v>914</v>
      </c>
      <c r="I134" s="197" t="s">
        <v>914</v>
      </c>
      <c r="J134" s="197" t="s">
        <v>914</v>
      </c>
      <c r="K134" s="198" t="s">
        <v>914</v>
      </c>
      <c r="L134" s="128"/>
    </row>
    <row r="135" spans="1:12" ht="15" customHeight="1">
      <c r="A135" s="261" t="s">
        <v>656</v>
      </c>
      <c r="B135" s="262" t="s">
        <v>657</v>
      </c>
      <c r="C135" s="196" t="s">
        <v>657</v>
      </c>
      <c r="D135" s="197" t="s">
        <v>914</v>
      </c>
      <c r="E135" s="197" t="s">
        <v>914</v>
      </c>
      <c r="F135" s="197" t="s">
        <v>914</v>
      </c>
      <c r="G135" s="197" t="s">
        <v>914</v>
      </c>
      <c r="H135" s="197" t="s">
        <v>914</v>
      </c>
      <c r="I135" s="197" t="s">
        <v>914</v>
      </c>
      <c r="J135" s="197" t="s">
        <v>914</v>
      </c>
      <c r="K135" s="198" t="s">
        <v>914</v>
      </c>
      <c r="L135" s="128"/>
    </row>
    <row r="136" spans="1:12" ht="20.25" customHeight="1" thickBot="1">
      <c r="A136" s="241" t="s">
        <v>1005</v>
      </c>
      <c r="B136" s="263" t="s">
        <v>658</v>
      </c>
      <c r="C136" s="201" t="s">
        <v>658</v>
      </c>
      <c r="D136" s="202">
        <v>4141063.67</v>
      </c>
      <c r="E136" s="202">
        <v>37664066.94</v>
      </c>
      <c r="F136" s="202">
        <v>419240</v>
      </c>
      <c r="G136" s="202">
        <v>42224370.61</v>
      </c>
      <c r="H136" s="202">
        <v>3290740.35</v>
      </c>
      <c r="I136" s="202">
        <v>32717859.65</v>
      </c>
      <c r="J136" s="202">
        <v>975978.9</v>
      </c>
      <c r="K136" s="203">
        <v>36984578.9</v>
      </c>
      <c r="L136" s="128"/>
    </row>
    <row r="137" spans="1:12" ht="15" customHeight="1" thickBot="1">
      <c r="A137" s="264" t="s">
        <v>1006</v>
      </c>
      <c r="B137" s="265" t="s">
        <v>659</v>
      </c>
      <c r="C137" s="243" t="s">
        <v>659</v>
      </c>
      <c r="D137" s="244">
        <v>4141063.67</v>
      </c>
      <c r="E137" s="244">
        <v>71177441.46</v>
      </c>
      <c r="F137" s="244">
        <v>419240</v>
      </c>
      <c r="G137" s="244">
        <v>75737745.13</v>
      </c>
      <c r="H137" s="244">
        <v>3290740.35</v>
      </c>
      <c r="I137" s="244">
        <v>72658783.84</v>
      </c>
      <c r="J137" s="244">
        <v>975978.9</v>
      </c>
      <c r="K137" s="245">
        <v>76925503.09</v>
      </c>
      <c r="L137" s="128"/>
    </row>
    <row r="138" spans="1:12" ht="15" customHeight="1">
      <c r="A138" s="266"/>
      <c r="B138" s="267"/>
      <c r="C138" s="206"/>
      <c r="D138" s="207"/>
      <c r="E138" s="207"/>
      <c r="F138" s="207"/>
      <c r="G138" s="207"/>
      <c r="H138" s="207"/>
      <c r="I138" s="207"/>
      <c r="J138" s="207"/>
      <c r="K138" s="207"/>
      <c r="L138" s="119"/>
    </row>
    <row r="139" spans="1:12" ht="15" customHeight="1">
      <c r="A139" s="232"/>
      <c r="B139" s="268"/>
      <c r="C139" s="233"/>
      <c r="D139" s="234"/>
      <c r="E139" s="234"/>
      <c r="F139" s="234"/>
      <c r="G139" s="234"/>
      <c r="H139" s="234"/>
      <c r="I139" s="234"/>
      <c r="J139" s="234"/>
      <c r="K139" s="234"/>
      <c r="L139" s="119"/>
    </row>
    <row r="140" spans="1:12" ht="15" customHeight="1">
      <c r="A140" s="269"/>
      <c r="B140" s="269"/>
      <c r="C140" s="210"/>
      <c r="D140" s="211"/>
      <c r="E140" s="211"/>
      <c r="F140" s="211"/>
      <c r="G140" s="211"/>
      <c r="H140" s="211"/>
      <c r="I140" s="211"/>
      <c r="J140" s="212"/>
      <c r="K140" s="213" t="s">
        <v>1007</v>
      </c>
      <c r="L140" s="119"/>
    </row>
    <row r="141" spans="1:12" ht="15" customHeight="1">
      <c r="A141" s="507" t="s">
        <v>660</v>
      </c>
      <c r="B141" s="221"/>
      <c r="C141" s="255" t="s">
        <v>1003</v>
      </c>
      <c r="D141" s="503" t="s">
        <v>556</v>
      </c>
      <c r="E141" s="503"/>
      <c r="F141" s="503"/>
      <c r="G141" s="503"/>
      <c r="H141" s="504" t="s">
        <v>557</v>
      </c>
      <c r="I141" s="504"/>
      <c r="J141" s="504"/>
      <c r="K141" s="504"/>
      <c r="L141" s="119"/>
    </row>
    <row r="142" spans="1:12" ht="15" customHeight="1">
      <c r="A142" s="507"/>
      <c r="B142" s="236"/>
      <c r="C142" s="256" t="s">
        <v>903</v>
      </c>
      <c r="D142" s="505" t="s">
        <v>933</v>
      </c>
      <c r="E142" s="505" t="s">
        <v>934</v>
      </c>
      <c r="F142" s="166" t="s">
        <v>905</v>
      </c>
      <c r="G142" s="505" t="s">
        <v>559</v>
      </c>
      <c r="H142" s="505" t="s">
        <v>933</v>
      </c>
      <c r="I142" s="505" t="s">
        <v>980</v>
      </c>
      <c r="J142" s="166" t="s">
        <v>905</v>
      </c>
      <c r="K142" s="506" t="s">
        <v>559</v>
      </c>
      <c r="L142" s="119"/>
    </row>
    <row r="143" spans="1:12" ht="15" customHeight="1">
      <c r="A143" s="507"/>
      <c r="B143" s="236"/>
      <c r="C143" s="256" t="s">
        <v>906</v>
      </c>
      <c r="D143" s="505"/>
      <c r="E143" s="505"/>
      <c r="F143" s="169" t="s">
        <v>909</v>
      </c>
      <c r="G143" s="505"/>
      <c r="H143" s="505"/>
      <c r="I143" s="505"/>
      <c r="J143" s="169" t="s">
        <v>909</v>
      </c>
      <c r="K143" s="506"/>
      <c r="L143" s="119"/>
    </row>
    <row r="144" spans="1:12" ht="15" customHeight="1">
      <c r="A144" s="507"/>
      <c r="B144" s="238"/>
      <c r="C144" s="257"/>
      <c r="D144" s="505"/>
      <c r="E144" s="505"/>
      <c r="F144" s="173" t="s">
        <v>912</v>
      </c>
      <c r="G144" s="505"/>
      <c r="H144" s="505"/>
      <c r="I144" s="505"/>
      <c r="J144" s="173" t="s">
        <v>912</v>
      </c>
      <c r="K144" s="506"/>
      <c r="L144" s="119"/>
    </row>
    <row r="145" spans="1:12" ht="15" customHeight="1" thickBot="1">
      <c r="A145" s="220">
        <v>1</v>
      </c>
      <c r="B145" s="221"/>
      <c r="C145" s="176" t="s">
        <v>560</v>
      </c>
      <c r="D145" s="177">
        <v>3</v>
      </c>
      <c r="E145" s="177">
        <v>4</v>
      </c>
      <c r="F145" s="177">
        <v>5</v>
      </c>
      <c r="G145" s="177">
        <v>6</v>
      </c>
      <c r="H145" s="177">
        <v>7</v>
      </c>
      <c r="I145" s="177">
        <v>8</v>
      </c>
      <c r="J145" s="177">
        <v>9</v>
      </c>
      <c r="K145" s="222">
        <v>10</v>
      </c>
      <c r="L145" s="119"/>
    </row>
    <row r="146" spans="1:12" ht="15" customHeight="1">
      <c r="A146" s="270" t="s">
        <v>661</v>
      </c>
      <c r="B146" s="180"/>
      <c r="C146" s="181"/>
      <c r="D146" s="271"/>
      <c r="E146" s="271"/>
      <c r="F146" s="271"/>
      <c r="G146" s="271"/>
      <c r="H146" s="271"/>
      <c r="I146" s="271"/>
      <c r="J146" s="271"/>
      <c r="K146" s="272"/>
      <c r="L146" s="128"/>
    </row>
    <row r="147" spans="1:12" ht="15" customHeight="1">
      <c r="A147" s="250" t="s">
        <v>981</v>
      </c>
      <c r="B147" s="190" t="s">
        <v>662</v>
      </c>
      <c r="C147" s="186" t="s">
        <v>662</v>
      </c>
      <c r="D147" s="187" t="s">
        <v>914</v>
      </c>
      <c r="E147" s="187" t="s">
        <v>914</v>
      </c>
      <c r="F147" s="187" t="s">
        <v>914</v>
      </c>
      <c r="G147" s="187" t="s">
        <v>914</v>
      </c>
      <c r="H147" s="187" t="s">
        <v>914</v>
      </c>
      <c r="I147" s="187" t="s">
        <v>914</v>
      </c>
      <c r="J147" s="187" t="s">
        <v>914</v>
      </c>
      <c r="K147" s="188" t="s">
        <v>914</v>
      </c>
      <c r="L147" s="128"/>
    </row>
    <row r="148" spans="1:12" ht="15" customHeight="1">
      <c r="A148" s="227" t="s">
        <v>248</v>
      </c>
      <c r="B148" s="228"/>
      <c r="C148" s="191"/>
      <c r="D148" s="192"/>
      <c r="E148" s="192"/>
      <c r="F148" s="192"/>
      <c r="G148" s="192"/>
      <c r="H148" s="192"/>
      <c r="I148" s="192"/>
      <c r="J148" s="192"/>
      <c r="K148" s="193"/>
      <c r="L148" s="128"/>
    </row>
    <row r="149" spans="1:12" ht="15" customHeight="1">
      <c r="A149" s="229" t="s">
        <v>982</v>
      </c>
      <c r="B149" s="228" t="s">
        <v>663</v>
      </c>
      <c r="C149" s="186" t="s">
        <v>663</v>
      </c>
      <c r="D149" s="187" t="s">
        <v>914</v>
      </c>
      <c r="E149" s="187" t="s">
        <v>914</v>
      </c>
      <c r="F149" s="187" t="s">
        <v>914</v>
      </c>
      <c r="G149" s="187" t="s">
        <v>914</v>
      </c>
      <c r="H149" s="187" t="s">
        <v>914</v>
      </c>
      <c r="I149" s="187" t="s">
        <v>914</v>
      </c>
      <c r="J149" s="187" t="s">
        <v>914</v>
      </c>
      <c r="K149" s="188" t="s">
        <v>914</v>
      </c>
      <c r="L149" s="128"/>
    </row>
    <row r="150" spans="1:12" ht="20.25" customHeight="1">
      <c r="A150" s="230" t="s">
        <v>1008</v>
      </c>
      <c r="B150" s="228" t="s">
        <v>664</v>
      </c>
      <c r="C150" s="196" t="s">
        <v>664</v>
      </c>
      <c r="D150" s="197" t="s">
        <v>914</v>
      </c>
      <c r="E150" s="197" t="s">
        <v>914</v>
      </c>
      <c r="F150" s="197" t="s">
        <v>914</v>
      </c>
      <c r="G150" s="197" t="s">
        <v>914</v>
      </c>
      <c r="H150" s="197" t="s">
        <v>914</v>
      </c>
      <c r="I150" s="197" t="s">
        <v>914</v>
      </c>
      <c r="J150" s="197" t="s">
        <v>914</v>
      </c>
      <c r="K150" s="198" t="s">
        <v>914</v>
      </c>
      <c r="L150" s="128"/>
    </row>
    <row r="151" spans="1:12" ht="15" customHeight="1">
      <c r="A151" s="230" t="s">
        <v>665</v>
      </c>
      <c r="B151" s="228" t="s">
        <v>666</v>
      </c>
      <c r="C151" s="196" t="s">
        <v>666</v>
      </c>
      <c r="D151" s="197" t="s">
        <v>914</v>
      </c>
      <c r="E151" s="197" t="s">
        <v>914</v>
      </c>
      <c r="F151" s="197" t="s">
        <v>914</v>
      </c>
      <c r="G151" s="197" t="s">
        <v>914</v>
      </c>
      <c r="H151" s="197" t="s">
        <v>914</v>
      </c>
      <c r="I151" s="197" t="s">
        <v>914</v>
      </c>
      <c r="J151" s="197" t="s">
        <v>914</v>
      </c>
      <c r="K151" s="198" t="s">
        <v>914</v>
      </c>
      <c r="L151" s="128"/>
    </row>
    <row r="152" spans="1:12" ht="15" customHeight="1">
      <c r="A152" s="199" t="s">
        <v>983</v>
      </c>
      <c r="B152" s="190" t="s">
        <v>667</v>
      </c>
      <c r="C152" s="196" t="s">
        <v>667</v>
      </c>
      <c r="D152" s="197" t="s">
        <v>914</v>
      </c>
      <c r="E152" s="197">
        <v>32374638.48</v>
      </c>
      <c r="F152" s="197" t="s">
        <v>914</v>
      </c>
      <c r="G152" s="197">
        <v>32374638.48</v>
      </c>
      <c r="H152" s="197" t="s">
        <v>914</v>
      </c>
      <c r="I152" s="197">
        <v>29315258.41</v>
      </c>
      <c r="J152" s="197" t="s">
        <v>914</v>
      </c>
      <c r="K152" s="198">
        <v>29315258.41</v>
      </c>
      <c r="L152" s="128"/>
    </row>
    <row r="153" spans="1:12" ht="15" customHeight="1">
      <c r="A153" s="199" t="s">
        <v>984</v>
      </c>
      <c r="B153" s="190" t="s">
        <v>668</v>
      </c>
      <c r="C153" s="196" t="s">
        <v>668</v>
      </c>
      <c r="D153" s="197" t="s">
        <v>914</v>
      </c>
      <c r="E153" s="197">
        <v>-64917.38</v>
      </c>
      <c r="F153" s="197" t="s">
        <v>914</v>
      </c>
      <c r="G153" s="197">
        <v>-64917.38</v>
      </c>
      <c r="H153" s="197" t="s">
        <v>914</v>
      </c>
      <c r="I153" s="197">
        <v>-14764.01</v>
      </c>
      <c r="J153" s="197" t="s">
        <v>914</v>
      </c>
      <c r="K153" s="198">
        <v>-14764.01</v>
      </c>
      <c r="L153" s="128"/>
    </row>
    <row r="154" spans="1:12" ht="15" customHeight="1">
      <c r="A154" s="227" t="s">
        <v>999</v>
      </c>
      <c r="B154" s="228"/>
      <c r="C154" s="191"/>
      <c r="D154" s="192"/>
      <c r="E154" s="192"/>
      <c r="F154" s="192"/>
      <c r="G154" s="192"/>
      <c r="H154" s="192"/>
      <c r="I154" s="192"/>
      <c r="J154" s="192"/>
      <c r="K154" s="193"/>
      <c r="L154" s="128"/>
    </row>
    <row r="155" spans="1:12" ht="15" customHeight="1">
      <c r="A155" s="229" t="s">
        <v>985</v>
      </c>
      <c r="B155" s="228" t="s">
        <v>669</v>
      </c>
      <c r="C155" s="186" t="s">
        <v>669</v>
      </c>
      <c r="D155" s="187" t="s">
        <v>914</v>
      </c>
      <c r="E155" s="187">
        <v>-1</v>
      </c>
      <c r="F155" s="187" t="s">
        <v>914</v>
      </c>
      <c r="G155" s="187">
        <v>-1</v>
      </c>
      <c r="H155" s="187" t="s">
        <v>914</v>
      </c>
      <c r="I155" s="187" t="s">
        <v>914</v>
      </c>
      <c r="J155" s="187" t="s">
        <v>914</v>
      </c>
      <c r="K155" s="188" t="s">
        <v>914</v>
      </c>
      <c r="L155" s="128"/>
    </row>
    <row r="156" spans="1:12" ht="20.25" customHeight="1">
      <c r="A156" s="230" t="s">
        <v>986</v>
      </c>
      <c r="B156" s="228" t="s">
        <v>670</v>
      </c>
      <c r="C156" s="196" t="s">
        <v>670</v>
      </c>
      <c r="D156" s="197" t="s">
        <v>914</v>
      </c>
      <c r="E156" s="197">
        <v>-87571.9</v>
      </c>
      <c r="F156" s="197" t="s">
        <v>914</v>
      </c>
      <c r="G156" s="197">
        <v>-87571.9</v>
      </c>
      <c r="H156" s="197" t="s">
        <v>914</v>
      </c>
      <c r="I156" s="197">
        <v>-17761.36</v>
      </c>
      <c r="J156" s="197" t="s">
        <v>914</v>
      </c>
      <c r="K156" s="198">
        <v>-17761.36</v>
      </c>
      <c r="L156" s="128"/>
    </row>
    <row r="157" spans="1:12" ht="15" customHeight="1">
      <c r="A157" s="230" t="s">
        <v>671</v>
      </c>
      <c r="B157" s="228" t="s">
        <v>672</v>
      </c>
      <c r="C157" s="196" t="s">
        <v>672</v>
      </c>
      <c r="D157" s="197" t="s">
        <v>914</v>
      </c>
      <c r="E157" s="197" t="s">
        <v>914</v>
      </c>
      <c r="F157" s="197" t="s">
        <v>914</v>
      </c>
      <c r="G157" s="197" t="s">
        <v>914</v>
      </c>
      <c r="H157" s="197" t="s">
        <v>914</v>
      </c>
      <c r="I157" s="197" t="s">
        <v>914</v>
      </c>
      <c r="J157" s="197" t="s">
        <v>914</v>
      </c>
      <c r="K157" s="198" t="s">
        <v>914</v>
      </c>
      <c r="L157" s="128"/>
    </row>
    <row r="158" spans="1:12" ht="15" customHeight="1">
      <c r="A158" s="230" t="s">
        <v>212</v>
      </c>
      <c r="B158" s="228" t="s">
        <v>673</v>
      </c>
      <c r="C158" s="196" t="s">
        <v>673</v>
      </c>
      <c r="D158" s="197" t="s">
        <v>914</v>
      </c>
      <c r="E158" s="197">
        <v>22812.38</v>
      </c>
      <c r="F158" s="197" t="s">
        <v>914</v>
      </c>
      <c r="G158" s="197">
        <v>22812.38</v>
      </c>
      <c r="H158" s="197" t="s">
        <v>914</v>
      </c>
      <c r="I158" s="197">
        <v>2997.35</v>
      </c>
      <c r="J158" s="197" t="s">
        <v>914</v>
      </c>
      <c r="K158" s="198">
        <v>2997.35</v>
      </c>
      <c r="L158" s="128"/>
    </row>
    <row r="159" spans="1:12" ht="15" customHeight="1">
      <c r="A159" s="230" t="s">
        <v>213</v>
      </c>
      <c r="B159" s="228" t="s">
        <v>674</v>
      </c>
      <c r="C159" s="196" t="s">
        <v>674</v>
      </c>
      <c r="D159" s="197" t="s">
        <v>914</v>
      </c>
      <c r="E159" s="197" t="s">
        <v>914</v>
      </c>
      <c r="F159" s="197" t="s">
        <v>914</v>
      </c>
      <c r="G159" s="197" t="s">
        <v>914</v>
      </c>
      <c r="H159" s="197" t="s">
        <v>914</v>
      </c>
      <c r="I159" s="197" t="s">
        <v>914</v>
      </c>
      <c r="J159" s="197" t="s">
        <v>914</v>
      </c>
      <c r="K159" s="198" t="s">
        <v>914</v>
      </c>
      <c r="L159" s="128"/>
    </row>
    <row r="160" spans="1:12" ht="20.25" customHeight="1" thickBot="1">
      <c r="A160" s="230" t="s">
        <v>214</v>
      </c>
      <c r="B160" s="228" t="s">
        <v>675</v>
      </c>
      <c r="C160" s="201" t="s">
        <v>675</v>
      </c>
      <c r="D160" s="202" t="s">
        <v>914</v>
      </c>
      <c r="E160" s="202">
        <v>-156.86</v>
      </c>
      <c r="F160" s="202" t="s">
        <v>914</v>
      </c>
      <c r="G160" s="202">
        <v>-156.86</v>
      </c>
      <c r="H160" s="202" t="s">
        <v>914</v>
      </c>
      <c r="I160" s="202" t="s">
        <v>914</v>
      </c>
      <c r="J160" s="202" t="s">
        <v>914</v>
      </c>
      <c r="K160" s="203" t="s">
        <v>914</v>
      </c>
      <c r="L160" s="128"/>
    </row>
    <row r="161" spans="1:12" ht="9.75" customHeight="1">
      <c r="A161" s="227"/>
      <c r="B161" s="231"/>
      <c r="C161" s="206"/>
      <c r="D161" s="207"/>
      <c r="E161" s="207"/>
      <c r="F161" s="207"/>
      <c r="G161" s="207"/>
      <c r="H161" s="207"/>
      <c r="I161" s="207"/>
      <c r="J161" s="207"/>
      <c r="K161" s="207"/>
      <c r="L161" s="119"/>
    </row>
    <row r="162" spans="1:12" ht="8.25" customHeight="1">
      <c r="A162" s="232"/>
      <c r="B162" s="231"/>
      <c r="C162" s="233"/>
      <c r="D162" s="234"/>
      <c r="E162" s="234"/>
      <c r="F162" s="234"/>
      <c r="G162" s="234"/>
      <c r="H162" s="234"/>
      <c r="I162" s="234"/>
      <c r="J162" s="234"/>
      <c r="K162" s="234"/>
      <c r="L162" s="119"/>
    </row>
    <row r="163" spans="1:12" ht="11.25" customHeight="1">
      <c r="A163" s="269"/>
      <c r="B163" s="269"/>
      <c r="C163" s="210"/>
      <c r="D163" s="211"/>
      <c r="E163" s="211"/>
      <c r="F163" s="211"/>
      <c r="G163" s="211"/>
      <c r="H163" s="211"/>
      <c r="I163" s="211"/>
      <c r="J163" s="212"/>
      <c r="K163" s="213" t="s">
        <v>1009</v>
      </c>
      <c r="L163" s="119"/>
    </row>
    <row r="164" spans="1:12" ht="13.5" customHeight="1">
      <c r="A164" s="502" t="s">
        <v>660</v>
      </c>
      <c r="B164" s="273"/>
      <c r="C164" s="235" t="s">
        <v>1010</v>
      </c>
      <c r="D164" s="503" t="s">
        <v>556</v>
      </c>
      <c r="E164" s="503"/>
      <c r="F164" s="503"/>
      <c r="G164" s="503"/>
      <c r="H164" s="504" t="s">
        <v>557</v>
      </c>
      <c r="I164" s="504"/>
      <c r="J164" s="504"/>
      <c r="K164" s="504"/>
      <c r="L164" s="119"/>
    </row>
    <row r="165" spans="1:12" ht="13.5" customHeight="1">
      <c r="A165" s="502"/>
      <c r="B165" s="274"/>
      <c r="C165" s="237" t="s">
        <v>1011</v>
      </c>
      <c r="D165" s="505" t="s">
        <v>933</v>
      </c>
      <c r="E165" s="505" t="s">
        <v>934</v>
      </c>
      <c r="F165" s="166" t="s">
        <v>905</v>
      </c>
      <c r="G165" s="505" t="s">
        <v>559</v>
      </c>
      <c r="H165" s="505" t="s">
        <v>933</v>
      </c>
      <c r="I165" s="505" t="s">
        <v>980</v>
      </c>
      <c r="J165" s="166" t="s">
        <v>905</v>
      </c>
      <c r="K165" s="506" t="s">
        <v>559</v>
      </c>
      <c r="L165" s="119"/>
    </row>
    <row r="166" spans="1:12" ht="13.5" customHeight="1">
      <c r="A166" s="502"/>
      <c r="B166" s="274"/>
      <c r="C166" s="237" t="s">
        <v>906</v>
      </c>
      <c r="D166" s="505"/>
      <c r="E166" s="505"/>
      <c r="F166" s="169" t="s">
        <v>909</v>
      </c>
      <c r="G166" s="505"/>
      <c r="H166" s="505"/>
      <c r="I166" s="505"/>
      <c r="J166" s="169" t="s">
        <v>909</v>
      </c>
      <c r="K166" s="506"/>
      <c r="L166" s="119"/>
    </row>
    <row r="167" spans="1:12" ht="13.5" customHeight="1">
      <c r="A167" s="502"/>
      <c r="B167" s="275"/>
      <c r="C167" s="239"/>
      <c r="D167" s="505"/>
      <c r="E167" s="505"/>
      <c r="F167" s="173" t="s">
        <v>912</v>
      </c>
      <c r="G167" s="505"/>
      <c r="H167" s="505"/>
      <c r="I167" s="505"/>
      <c r="J167" s="173" t="s">
        <v>912</v>
      </c>
      <c r="K167" s="506"/>
      <c r="L167" s="119"/>
    </row>
    <row r="168" spans="1:12" ht="13.5" customHeight="1" thickBot="1">
      <c r="A168" s="220">
        <v>1</v>
      </c>
      <c r="B168" s="221"/>
      <c r="C168" s="176" t="s">
        <v>560</v>
      </c>
      <c r="D168" s="177">
        <v>3</v>
      </c>
      <c r="E168" s="177">
        <v>4</v>
      </c>
      <c r="F168" s="177">
        <v>5</v>
      </c>
      <c r="G168" s="177">
        <v>6</v>
      </c>
      <c r="H168" s="177">
        <v>7</v>
      </c>
      <c r="I168" s="177">
        <v>8</v>
      </c>
      <c r="J168" s="177">
        <v>9</v>
      </c>
      <c r="K168" s="222">
        <v>10</v>
      </c>
      <c r="L168" s="119"/>
    </row>
    <row r="169" spans="1:12" ht="15" customHeight="1">
      <c r="A169" s="223" t="s">
        <v>215</v>
      </c>
      <c r="B169" s="190" t="s">
        <v>676</v>
      </c>
      <c r="C169" s="224" t="s">
        <v>676</v>
      </c>
      <c r="D169" s="225" t="s">
        <v>914</v>
      </c>
      <c r="E169" s="225" t="s">
        <v>914</v>
      </c>
      <c r="F169" s="225">
        <v>419240</v>
      </c>
      <c r="G169" s="225">
        <v>419240</v>
      </c>
      <c r="H169" s="225" t="s">
        <v>914</v>
      </c>
      <c r="I169" s="225" t="s">
        <v>914</v>
      </c>
      <c r="J169" s="225">
        <v>975978.9</v>
      </c>
      <c r="K169" s="226">
        <v>975978.9</v>
      </c>
      <c r="L169" s="128"/>
    </row>
    <row r="170" spans="1:12" ht="15" customHeight="1">
      <c r="A170" s="251" t="s">
        <v>1012</v>
      </c>
      <c r="B170" s="190"/>
      <c r="C170" s="191"/>
      <c r="D170" s="192"/>
      <c r="E170" s="192"/>
      <c r="F170" s="192"/>
      <c r="G170" s="192"/>
      <c r="H170" s="192"/>
      <c r="I170" s="192"/>
      <c r="J170" s="192"/>
      <c r="K170" s="193"/>
      <c r="L170" s="128"/>
    </row>
    <row r="171" spans="1:12" ht="15" customHeight="1">
      <c r="A171" s="229" t="s">
        <v>216</v>
      </c>
      <c r="B171" s="190" t="s">
        <v>677</v>
      </c>
      <c r="C171" s="186" t="s">
        <v>677</v>
      </c>
      <c r="D171" s="276" t="s">
        <v>974</v>
      </c>
      <c r="E171" s="276" t="s">
        <v>974</v>
      </c>
      <c r="F171" s="187">
        <v>419240</v>
      </c>
      <c r="G171" s="187">
        <v>419240</v>
      </c>
      <c r="H171" s="276" t="s">
        <v>974</v>
      </c>
      <c r="I171" s="276" t="s">
        <v>974</v>
      </c>
      <c r="J171" s="187">
        <v>975978.9</v>
      </c>
      <c r="K171" s="188">
        <v>975978.9</v>
      </c>
      <c r="L171" s="128"/>
    </row>
    <row r="172" spans="1:12" ht="15" customHeight="1">
      <c r="A172" s="230" t="s">
        <v>217</v>
      </c>
      <c r="B172" s="190" t="s">
        <v>678</v>
      </c>
      <c r="C172" s="196" t="s">
        <v>218</v>
      </c>
      <c r="D172" s="197" t="s">
        <v>914</v>
      </c>
      <c r="E172" s="197" t="s">
        <v>914</v>
      </c>
      <c r="F172" s="197" t="s">
        <v>914</v>
      </c>
      <c r="G172" s="197" t="s">
        <v>914</v>
      </c>
      <c r="H172" s="197" t="s">
        <v>914</v>
      </c>
      <c r="I172" s="197" t="s">
        <v>914</v>
      </c>
      <c r="J172" s="197" t="s">
        <v>914</v>
      </c>
      <c r="K172" s="198" t="s">
        <v>914</v>
      </c>
      <c r="L172" s="128"/>
    </row>
    <row r="173" spans="1:12" ht="15" customHeight="1">
      <c r="A173" s="230" t="s">
        <v>219</v>
      </c>
      <c r="B173" s="190" t="s">
        <v>679</v>
      </c>
      <c r="C173" s="196" t="s">
        <v>679</v>
      </c>
      <c r="D173" s="197" t="s">
        <v>914</v>
      </c>
      <c r="E173" s="197" t="s">
        <v>914</v>
      </c>
      <c r="F173" s="197" t="s">
        <v>914</v>
      </c>
      <c r="G173" s="197" t="s">
        <v>914</v>
      </c>
      <c r="H173" s="197" t="s">
        <v>914</v>
      </c>
      <c r="I173" s="197" t="s">
        <v>914</v>
      </c>
      <c r="J173" s="197" t="s">
        <v>914</v>
      </c>
      <c r="K173" s="198" t="s">
        <v>914</v>
      </c>
      <c r="L173" s="128"/>
    </row>
    <row r="174" spans="1:12" ht="15" customHeight="1">
      <c r="A174" s="230" t="s">
        <v>220</v>
      </c>
      <c r="B174" s="190" t="s">
        <v>680</v>
      </c>
      <c r="C174" s="196" t="s">
        <v>680</v>
      </c>
      <c r="D174" s="197" t="s">
        <v>914</v>
      </c>
      <c r="E174" s="197" t="s">
        <v>914</v>
      </c>
      <c r="F174" s="197" t="s">
        <v>914</v>
      </c>
      <c r="G174" s="197" t="s">
        <v>914</v>
      </c>
      <c r="H174" s="197" t="s">
        <v>914</v>
      </c>
      <c r="I174" s="197" t="s">
        <v>914</v>
      </c>
      <c r="J174" s="197" t="s">
        <v>914</v>
      </c>
      <c r="K174" s="198" t="s">
        <v>914</v>
      </c>
      <c r="L174" s="128"/>
    </row>
    <row r="175" spans="1:12" ht="15" customHeight="1">
      <c r="A175" s="230" t="s">
        <v>221</v>
      </c>
      <c r="B175" s="190" t="s">
        <v>222</v>
      </c>
      <c r="C175" s="196" t="s">
        <v>222</v>
      </c>
      <c r="D175" s="197" t="s">
        <v>914</v>
      </c>
      <c r="E175" s="197" t="s">
        <v>914</v>
      </c>
      <c r="F175" s="197" t="s">
        <v>914</v>
      </c>
      <c r="G175" s="197" t="s">
        <v>914</v>
      </c>
      <c r="H175" s="197" t="s">
        <v>914</v>
      </c>
      <c r="I175" s="197" t="s">
        <v>914</v>
      </c>
      <c r="J175" s="197" t="s">
        <v>914</v>
      </c>
      <c r="K175" s="198" t="s">
        <v>914</v>
      </c>
      <c r="L175" s="128"/>
    </row>
    <row r="176" spans="1:12" ht="15" customHeight="1" thickBot="1">
      <c r="A176" s="277" t="s">
        <v>1013</v>
      </c>
      <c r="B176" s="278" t="s">
        <v>681</v>
      </c>
      <c r="C176" s="201" t="s">
        <v>681</v>
      </c>
      <c r="D176" s="202" t="s">
        <v>914</v>
      </c>
      <c r="E176" s="202">
        <v>32309721.1</v>
      </c>
      <c r="F176" s="202">
        <v>419240</v>
      </c>
      <c r="G176" s="202">
        <v>32728961.1</v>
      </c>
      <c r="H176" s="202" t="s">
        <v>914</v>
      </c>
      <c r="I176" s="202">
        <v>29300494.4</v>
      </c>
      <c r="J176" s="202">
        <v>975978.9</v>
      </c>
      <c r="K176" s="203">
        <v>30276473.3</v>
      </c>
      <c r="L176" s="128"/>
    </row>
    <row r="177" spans="1:12" ht="15" customHeight="1">
      <c r="A177" s="246" t="s">
        <v>682</v>
      </c>
      <c r="B177" s="279"/>
      <c r="C177" s="181"/>
      <c r="D177" s="248"/>
      <c r="E177" s="248"/>
      <c r="F177" s="248"/>
      <c r="G177" s="248"/>
      <c r="H177" s="248"/>
      <c r="I177" s="248"/>
      <c r="J177" s="248"/>
      <c r="K177" s="249"/>
      <c r="L177" s="128"/>
    </row>
    <row r="178" spans="1:12" ht="20.25" customHeight="1">
      <c r="A178" s="250" t="s">
        <v>1014</v>
      </c>
      <c r="B178" s="190" t="s">
        <v>683</v>
      </c>
      <c r="C178" s="186" t="s">
        <v>683</v>
      </c>
      <c r="D178" s="187">
        <v>4141063.67</v>
      </c>
      <c r="E178" s="187">
        <v>38867720.36</v>
      </c>
      <c r="F178" s="187" t="s">
        <v>914</v>
      </c>
      <c r="G178" s="187">
        <v>43008784.03</v>
      </c>
      <c r="H178" s="187">
        <v>3290740.35</v>
      </c>
      <c r="I178" s="187">
        <v>43358289.44</v>
      </c>
      <c r="J178" s="187" t="s">
        <v>914</v>
      </c>
      <c r="K178" s="188">
        <v>46649029.79</v>
      </c>
      <c r="L178" s="128"/>
    </row>
    <row r="179" spans="1:12" ht="15" customHeight="1">
      <c r="A179" s="280" t="s">
        <v>999</v>
      </c>
      <c r="B179" s="190"/>
      <c r="C179" s="196"/>
      <c r="D179" s="258"/>
      <c r="E179" s="258"/>
      <c r="F179" s="258"/>
      <c r="G179" s="258"/>
      <c r="H179" s="258"/>
      <c r="I179" s="258"/>
      <c r="J179" s="258"/>
      <c r="K179" s="281"/>
      <c r="L179" s="128"/>
    </row>
    <row r="180" spans="1:12" ht="15" customHeight="1">
      <c r="A180" s="282" t="s">
        <v>684</v>
      </c>
      <c r="B180" s="190" t="s">
        <v>685</v>
      </c>
      <c r="C180" s="283" t="s">
        <v>685</v>
      </c>
      <c r="D180" s="197">
        <v>4141063.67</v>
      </c>
      <c r="E180" s="197">
        <v>-219466454.37</v>
      </c>
      <c r="F180" s="197" t="s">
        <v>914</v>
      </c>
      <c r="G180" s="197">
        <v>-215325390.7</v>
      </c>
      <c r="H180" s="197">
        <v>3290740.35</v>
      </c>
      <c r="I180" s="197">
        <v>-219511505.88</v>
      </c>
      <c r="J180" s="197" t="s">
        <v>914</v>
      </c>
      <c r="K180" s="198">
        <v>-216220765.53</v>
      </c>
      <c r="L180" s="128"/>
    </row>
    <row r="181" spans="1:12" ht="15" customHeight="1">
      <c r="A181" s="284" t="s">
        <v>223</v>
      </c>
      <c r="B181" s="190" t="s">
        <v>224</v>
      </c>
      <c r="C181" s="285" t="s">
        <v>224</v>
      </c>
      <c r="D181" s="286" t="s">
        <v>974</v>
      </c>
      <c r="E181" s="197">
        <v>258334174.73</v>
      </c>
      <c r="F181" s="286" t="s">
        <v>974</v>
      </c>
      <c r="G181" s="197">
        <v>258334174.73</v>
      </c>
      <c r="H181" s="286" t="s">
        <v>974</v>
      </c>
      <c r="I181" s="197">
        <v>262869795.32</v>
      </c>
      <c r="J181" s="286" t="s">
        <v>974</v>
      </c>
      <c r="K181" s="198">
        <v>262869795.32</v>
      </c>
      <c r="L181" s="128"/>
    </row>
    <row r="182" spans="1:12" ht="15" customHeight="1">
      <c r="A182" s="284" t="s">
        <v>686</v>
      </c>
      <c r="B182" s="190" t="s">
        <v>687</v>
      </c>
      <c r="C182" s="196" t="s">
        <v>687</v>
      </c>
      <c r="D182" s="197" t="s">
        <v>914</v>
      </c>
      <c r="E182" s="197" t="s">
        <v>914</v>
      </c>
      <c r="F182" s="197" t="s">
        <v>914</v>
      </c>
      <c r="G182" s="197" t="s">
        <v>914</v>
      </c>
      <c r="H182" s="197" t="s">
        <v>914</v>
      </c>
      <c r="I182" s="197" t="s">
        <v>914</v>
      </c>
      <c r="J182" s="197" t="s">
        <v>914</v>
      </c>
      <c r="K182" s="198" t="s">
        <v>914</v>
      </c>
      <c r="L182" s="128"/>
    </row>
    <row r="183" spans="1:12" ht="15" customHeight="1" thickBot="1">
      <c r="A183" s="287" t="s">
        <v>688</v>
      </c>
      <c r="B183" s="288" t="s">
        <v>689</v>
      </c>
      <c r="C183" s="201" t="s">
        <v>689</v>
      </c>
      <c r="D183" s="202" t="s">
        <v>914</v>
      </c>
      <c r="E183" s="202" t="s">
        <v>914</v>
      </c>
      <c r="F183" s="202" t="s">
        <v>914</v>
      </c>
      <c r="G183" s="202" t="s">
        <v>914</v>
      </c>
      <c r="H183" s="202" t="s">
        <v>914</v>
      </c>
      <c r="I183" s="202" t="s">
        <v>914</v>
      </c>
      <c r="J183" s="202" t="s">
        <v>914</v>
      </c>
      <c r="K183" s="203" t="s">
        <v>914</v>
      </c>
      <c r="L183" s="128"/>
    </row>
    <row r="184" spans="1:12" ht="15" customHeight="1" thickBot="1">
      <c r="A184" s="264" t="s">
        <v>225</v>
      </c>
      <c r="B184" s="265" t="s">
        <v>690</v>
      </c>
      <c r="C184" s="243" t="s">
        <v>690</v>
      </c>
      <c r="D184" s="244">
        <v>4141063.67</v>
      </c>
      <c r="E184" s="244">
        <v>71177441.46</v>
      </c>
      <c r="F184" s="244">
        <v>419240</v>
      </c>
      <c r="G184" s="244">
        <v>75737745.13</v>
      </c>
      <c r="H184" s="244">
        <v>3290740.35</v>
      </c>
      <c r="I184" s="244">
        <v>72658783.84</v>
      </c>
      <c r="J184" s="244">
        <v>975978.9</v>
      </c>
      <c r="K184" s="245">
        <v>76925503.09</v>
      </c>
      <c r="L184" s="128"/>
    </row>
    <row r="185" spans="1:12" ht="12.75" customHeight="1">
      <c r="A185" s="117"/>
      <c r="B185" s="117"/>
      <c r="C185" s="289"/>
      <c r="D185" s="131"/>
      <c r="E185" s="131"/>
      <c r="F185" s="131"/>
      <c r="G185" s="131"/>
      <c r="H185" s="131"/>
      <c r="I185" s="131"/>
      <c r="J185" s="131"/>
      <c r="K185" s="131"/>
      <c r="L185" s="119"/>
    </row>
  </sheetData>
  <sheetProtection/>
  <mergeCells count="57">
    <mergeCell ref="C14:I14"/>
    <mergeCell ref="D18:G18"/>
    <mergeCell ref="H18:K18"/>
    <mergeCell ref="A3:K3"/>
    <mergeCell ref="A4:K4"/>
    <mergeCell ref="A5:J5"/>
    <mergeCell ref="C6:F6"/>
    <mergeCell ref="I6:J6"/>
    <mergeCell ref="C9:I9"/>
    <mergeCell ref="G19:G21"/>
    <mergeCell ref="K19:K21"/>
    <mergeCell ref="D44:G44"/>
    <mergeCell ref="H44:K44"/>
    <mergeCell ref="D45:D47"/>
    <mergeCell ref="E45:E47"/>
    <mergeCell ref="G45:G47"/>
    <mergeCell ref="H45:H47"/>
    <mergeCell ref="I45:I47"/>
    <mergeCell ref="K45:K47"/>
    <mergeCell ref="A77:A80"/>
    <mergeCell ref="D77:G77"/>
    <mergeCell ref="H77:K77"/>
    <mergeCell ref="D78:D80"/>
    <mergeCell ref="E78:E80"/>
    <mergeCell ref="F78:F80"/>
    <mergeCell ref="G78:G80"/>
    <mergeCell ref="H78:H80"/>
    <mergeCell ref="I78:I80"/>
    <mergeCell ref="J78:J80"/>
    <mergeCell ref="K78:K80"/>
    <mergeCell ref="A110:A113"/>
    <mergeCell ref="D110:G110"/>
    <mergeCell ref="H110:K110"/>
    <mergeCell ref="D111:D113"/>
    <mergeCell ref="E111:E113"/>
    <mergeCell ref="G111:G113"/>
    <mergeCell ref="H111:H113"/>
    <mergeCell ref="I111:I113"/>
    <mergeCell ref="K111:K113"/>
    <mergeCell ref="A141:A144"/>
    <mergeCell ref="D141:G141"/>
    <mergeCell ref="H141:K141"/>
    <mergeCell ref="D142:D144"/>
    <mergeCell ref="E142:E144"/>
    <mergeCell ref="G142:G144"/>
    <mergeCell ref="H142:H144"/>
    <mergeCell ref="I142:I144"/>
    <mergeCell ref="K142:K144"/>
    <mergeCell ref="A164:A167"/>
    <mergeCell ref="D164:G164"/>
    <mergeCell ref="H164:K164"/>
    <mergeCell ref="D165:D167"/>
    <mergeCell ref="E165:E167"/>
    <mergeCell ref="G165:G167"/>
    <mergeCell ref="H165:H167"/>
    <mergeCell ref="I165:I167"/>
    <mergeCell ref="K165:K167"/>
  </mergeCells>
  <printOptions/>
  <pageMargins left="0.5905511811023623" right="0.11811023622047245" top="0.5905511811023623" bottom="0.3937007874015748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I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73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95</v>
      </c>
      <c r="H6" s="635">
        <v>0.24</v>
      </c>
      <c r="I6" s="632" t="s">
        <v>96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ROUND(J10*3449.3/750,2)</f>
        <v>9.24</v>
      </c>
      <c r="L10" s="72">
        <v>2.33</v>
      </c>
      <c r="M10" s="68">
        <f>ROUND(L10*3449.3/750,2)</f>
        <v>10.72</v>
      </c>
      <c r="N10" s="641"/>
      <c r="O10" s="68">
        <f>(J10+L10)/2*3449.3*2</f>
        <v>14969.962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ROUND(J11*3449.3/1570,2)</f>
        <v>5.01</v>
      </c>
      <c r="L11" s="72">
        <v>2.28</v>
      </c>
      <c r="M11" s="68">
        <f>ROUND(L11*3449.3/1570,2)</f>
        <v>5.01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ROUND(J12*3449.3/400,2)</f>
        <v>11.64</v>
      </c>
      <c r="L12" s="72">
        <v>1.36</v>
      </c>
      <c r="M12" s="68">
        <f>ROUND(L12*3449.3/400,2)</f>
        <v>11.73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ROUND(J13*3449.3/1680,2)</f>
        <v>7.64</v>
      </c>
      <c r="L13" s="72">
        <v>3.87</v>
      </c>
      <c r="M13" s="68">
        <f>ROUND(L13*3449.3/1680,2)</f>
        <v>7.95</v>
      </c>
      <c r="N13" s="641"/>
      <c r="O13" s="68">
        <f>(J13+L13)/2*3449.3</f>
        <v>13090.0935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G4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97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98</v>
      </c>
      <c r="H6" s="635">
        <v>0.192</v>
      </c>
      <c r="I6" s="632" t="s">
        <v>99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ROUND(J10*2076/450,2)</f>
        <v>9.27</v>
      </c>
      <c r="L10" s="72">
        <v>2.33</v>
      </c>
      <c r="M10" s="68">
        <f>ROUND(L10*2076/450,2)</f>
        <v>10.75</v>
      </c>
      <c r="N10" s="641"/>
      <c r="O10" s="68">
        <f>(J10+L10)/2*2076*2</f>
        <v>9009.84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ROUND(J11*2076/894,2)</f>
        <v>5.29</v>
      </c>
      <c r="L11" s="72">
        <v>2.28</v>
      </c>
      <c r="M11" s="68">
        <f>ROUND(L11*2076/894,2)</f>
        <v>5.29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ROUND(J12*2076/240,2)</f>
        <v>11.68</v>
      </c>
      <c r="L12" s="72">
        <v>1.36</v>
      </c>
      <c r="M12" s="68">
        <f>ROUND(L12*2076/240,2)</f>
        <v>11.76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ROUND(J13*2076/1008,2)</f>
        <v>7.66</v>
      </c>
      <c r="L13" s="72">
        <v>3.87</v>
      </c>
      <c r="M13" s="68">
        <f>ROUND(L13*2076/1008,2)</f>
        <v>7.97</v>
      </c>
      <c r="N13" s="641"/>
      <c r="O13" s="68">
        <f>(J13+L13)/2*2076</f>
        <v>7878.42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G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100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487</v>
      </c>
      <c r="H6" s="635">
        <v>0.192</v>
      </c>
      <c r="I6" s="632" t="s">
        <v>488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ROUND(J10*2059.4/450,2)</f>
        <v>9.2</v>
      </c>
      <c r="L10" s="72">
        <v>2.33</v>
      </c>
      <c r="M10" s="68">
        <f>ROUND(L10*2059.4/450,2)</f>
        <v>10.66</v>
      </c>
      <c r="N10" s="641"/>
      <c r="O10" s="68">
        <f>(J10+L10)/2*2059.4*2</f>
        <v>8937.796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ROUND(J11*2059.4/894,2)</f>
        <v>5.25</v>
      </c>
      <c r="L11" s="72">
        <v>2.28</v>
      </c>
      <c r="M11" s="68">
        <f>ROUND(L11*2059.4/894,2)</f>
        <v>5.25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ROUND(J12*2059.4/240,2)</f>
        <v>11.58</v>
      </c>
      <c r="L12" s="72">
        <v>1.36</v>
      </c>
      <c r="M12" s="68">
        <f>ROUND(L12*2059.4/240,2)</f>
        <v>11.67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ROUND(J13*2059.4/1008,2)</f>
        <v>7.6</v>
      </c>
      <c r="L13" s="72">
        <v>3.87</v>
      </c>
      <c r="M13" s="68">
        <f>ROUND(L13*2059.4/1008,2)</f>
        <v>7.91</v>
      </c>
      <c r="N13" s="641"/>
      <c r="O13" s="68">
        <f>(J13+L13)/2*2059.4</f>
        <v>7815.423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H4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489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104</v>
      </c>
      <c r="H6" s="635">
        <v>0.184</v>
      </c>
      <c r="I6" s="632" t="s">
        <v>488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ROUND(J10*2121.5/450,2)</f>
        <v>9.48</v>
      </c>
      <c r="L10" s="72">
        <v>2.33</v>
      </c>
      <c r="M10" s="68">
        <f>ROUND(L10*2121.5/450,2)</f>
        <v>10.98</v>
      </c>
      <c r="N10" s="641"/>
      <c r="O10" s="68">
        <f>(J10+L10)/2*2121.5*2</f>
        <v>9207.31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ROUND(J11*2121.5/894,2)</f>
        <v>5.41</v>
      </c>
      <c r="L11" s="72">
        <v>2.28</v>
      </c>
      <c r="M11" s="68">
        <f>ROUND(L11*2121.5/894,2)</f>
        <v>5.41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ROUND(J12*2121.5/240,2)</f>
        <v>11.93</v>
      </c>
      <c r="L12" s="72">
        <v>1.36</v>
      </c>
      <c r="M12" s="68">
        <f>ROUND(L12*2121.5/240,2)</f>
        <v>12.02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ROUND(J13*2121.5/1008,2)</f>
        <v>7.83</v>
      </c>
      <c r="L13" s="72">
        <v>3.87</v>
      </c>
      <c r="M13" s="68">
        <f>ROUND(L13*2121.5/1008,2)</f>
        <v>8.15</v>
      </c>
      <c r="N13" s="641"/>
      <c r="O13" s="68">
        <f>(J13+L13)/2*2121.5</f>
        <v>8051.0925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H4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105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106</v>
      </c>
      <c r="H6" s="635">
        <v>0.16399999999999998</v>
      </c>
      <c r="I6" s="632" t="s">
        <v>107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ROUND(J10*4331.9/770,2)</f>
        <v>11.31</v>
      </c>
      <c r="L10" s="72">
        <v>2.33</v>
      </c>
      <c r="M10" s="68">
        <f>ROUND(L10*4331.9/770,2)</f>
        <v>13.11</v>
      </c>
      <c r="N10" s="641"/>
      <c r="O10" s="68">
        <f>(J10+L10)/2*4331.9*2</f>
        <v>18800.445999999996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ROUND(J11*4331.9/1865,2)</f>
        <v>5.3</v>
      </c>
      <c r="L11" s="72">
        <v>2.28</v>
      </c>
      <c r="M11" s="68">
        <f>ROUND(L11*4331.9/1865,2)</f>
        <v>5.3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ROUND(J12*4331.9/450,2)</f>
        <v>13</v>
      </c>
      <c r="L12" s="72">
        <v>1.36</v>
      </c>
      <c r="M12" s="68">
        <f>ROUND(L12*4331.9/450,2)</f>
        <v>13.09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ROUND(J13*4331.9/1770,2)</f>
        <v>9.1</v>
      </c>
      <c r="L13" s="72">
        <v>3.87</v>
      </c>
      <c r="M13" s="68">
        <f>ROUND(L13*4331.9/1770,2)</f>
        <v>9.47</v>
      </c>
      <c r="N13" s="641"/>
      <c r="O13" s="68">
        <f>(J13+L13)/2*4331.9</f>
        <v>16439.5605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G7">
      <selection activeCell="O10" sqref="O10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108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109</v>
      </c>
      <c r="H6" s="635">
        <v>0.176</v>
      </c>
      <c r="I6" s="632" t="s">
        <v>184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ROUND(J10*3265.7/780,2)</f>
        <v>8.42</v>
      </c>
      <c r="L10" s="72">
        <v>2.33</v>
      </c>
      <c r="M10" s="68">
        <f>ROUND(L10*3265.7/780,2)</f>
        <v>9.76</v>
      </c>
      <c r="N10" s="641"/>
      <c r="O10" s="68">
        <f>(J10+L10)/2*3265.7*2</f>
        <v>14173.137999999999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ROUND(J11*3265.7/1314,2)</f>
        <v>5.67</v>
      </c>
      <c r="L11" s="72">
        <v>2.28</v>
      </c>
      <c r="M11" s="68">
        <f>ROUND(L11*3265.7/1314,2)</f>
        <v>5.67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ROUND(J12*3265.7/400,2)</f>
        <v>11.02</v>
      </c>
      <c r="L12" s="72">
        <v>1.36</v>
      </c>
      <c r="M12" s="68">
        <f>ROUND(L12*3265.7/400,2)</f>
        <v>11.1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ROUND(J13*3265.7/1415,2)</f>
        <v>8.59</v>
      </c>
      <c r="L13" s="72">
        <v>3.87</v>
      </c>
      <c r="M13" s="68">
        <f>ROUND(L13*3265.7/1415,2)</f>
        <v>8.93</v>
      </c>
      <c r="N13" s="641"/>
      <c r="O13" s="68">
        <f>(J13+L13)/2*3265.7</f>
        <v>12393.331499999998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H4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185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186</v>
      </c>
      <c r="H6" s="635">
        <v>0.176</v>
      </c>
      <c r="I6" s="632" t="s">
        <v>187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ROUND(J10*3266.5/780,2)</f>
        <v>8.42</v>
      </c>
      <c r="L10" s="72">
        <v>2.33</v>
      </c>
      <c r="M10" s="68">
        <f>ROUND(L10*3266.5/780,2)</f>
        <v>9.76</v>
      </c>
      <c r="N10" s="641"/>
      <c r="O10" s="68">
        <f>(J10+L10)/2*3266.5*2</f>
        <v>14176.609999999999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ROUND(J11*3266.5/1314,2)</f>
        <v>5.67</v>
      </c>
      <c r="L11" s="72">
        <v>2.28</v>
      </c>
      <c r="M11" s="68">
        <f>ROUND(L11*3266.5/1314,2)</f>
        <v>5.67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ROUND(J12*3266.5/400,2)</f>
        <v>11.02</v>
      </c>
      <c r="L12" s="72">
        <v>1.36</v>
      </c>
      <c r="M12" s="68">
        <f>ROUND(L12*3266.5/400,2)</f>
        <v>11.11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ROUND(J13*3266.5/1416,2)</f>
        <v>8.58</v>
      </c>
      <c r="L13" s="72">
        <v>3.87</v>
      </c>
      <c r="M13" s="68">
        <f>ROUND(L13*3266.5/1416,2)</f>
        <v>8.93</v>
      </c>
      <c r="N13" s="641"/>
      <c r="O13" s="68">
        <f>(J13+L13)/2*3266.5</f>
        <v>12396.3675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H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188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38</v>
      </c>
      <c r="H6" s="635">
        <v>0.16</v>
      </c>
      <c r="I6" s="632" t="s">
        <v>187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ROUND(J10*4124.7/960,2)</f>
        <v>8.64</v>
      </c>
      <c r="L10" s="72">
        <v>2.33</v>
      </c>
      <c r="M10" s="68">
        <f>ROUND(L10*4124.7/960,2)</f>
        <v>10.01</v>
      </c>
      <c r="N10" s="641"/>
      <c r="O10" s="68">
        <f>(J10+L10)/2*4124.7*2</f>
        <v>17901.198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ROUND(J11*4124.7/1702,2)</f>
        <v>5.53</v>
      </c>
      <c r="L11" s="72">
        <v>2.28</v>
      </c>
      <c r="M11" s="68">
        <f>ROUND(L11*4124.7/1702,2)</f>
        <v>5.53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ROUND(J12*4124.7/520,2)</f>
        <v>10.71</v>
      </c>
      <c r="L12" s="72">
        <v>1.36</v>
      </c>
      <c r="M12" s="68">
        <f>ROUND(L12*4124.7/520,2)</f>
        <v>10.79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ROUND(J13*4124.7/1780,2)</f>
        <v>8.62</v>
      </c>
      <c r="L13" s="72">
        <v>3.87</v>
      </c>
      <c r="M13" s="68">
        <f>ROUND(L13*4124.7/1780,2)</f>
        <v>8.97</v>
      </c>
      <c r="N13" s="641"/>
      <c r="O13" s="68">
        <f>(J13+L13)/2*4124.7</f>
        <v>15653.236499999999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G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39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48</v>
      </c>
      <c r="H6" s="635">
        <v>0.16</v>
      </c>
      <c r="I6" s="632" t="s">
        <v>45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ROUND(J10*3171.9/620,2)</f>
        <v>10.28</v>
      </c>
      <c r="L10" s="72">
        <v>2.33</v>
      </c>
      <c r="M10" s="68">
        <f>ROUND(L10*3171.9/620,2)</f>
        <v>11.92</v>
      </c>
      <c r="N10" s="641"/>
      <c r="O10" s="68">
        <f>(J10+L10)/2*3171.9*2</f>
        <v>13766.046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ROUND(J11*3171.9/1424,2)</f>
        <v>5.08</v>
      </c>
      <c r="L11" s="72">
        <v>2.28</v>
      </c>
      <c r="M11" s="68">
        <f>ROUND(L11*3171.9/1424,2)</f>
        <v>5.08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ROUND(J12*3171.9/420,2)</f>
        <v>10.2</v>
      </c>
      <c r="L12" s="72">
        <v>1.36</v>
      </c>
      <c r="M12" s="68">
        <f>ROUND(L12*3171.9/420,2)</f>
        <v>10.27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ROUND(J13*3171.9/1340,2)</f>
        <v>8.81</v>
      </c>
      <c r="L13" s="72">
        <v>3.87</v>
      </c>
      <c r="M13" s="68">
        <f>ROUND(L13*3171.9/1340,2)</f>
        <v>9.16</v>
      </c>
      <c r="N13" s="641"/>
      <c r="O13" s="68">
        <f>(J13+L13)/2*3171.9</f>
        <v>12037.3605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24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F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46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191</v>
      </c>
      <c r="H6" s="635">
        <v>0.16799999999999998</v>
      </c>
      <c r="I6" s="632" t="s">
        <v>192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ROUND(J10*2366.9/480,2)</f>
        <v>9.91</v>
      </c>
      <c r="L10" s="72">
        <v>2.33</v>
      </c>
      <c r="M10" s="68">
        <f>ROUND(L10*2366.9/480,2)</f>
        <v>11.49</v>
      </c>
      <c r="N10" s="641"/>
      <c r="O10" s="68">
        <f>(J10+L10)/2*2366.9*2</f>
        <v>10272.346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ROUND(J11*2366.9/1087,2)</f>
        <v>4.96</v>
      </c>
      <c r="L11" s="72">
        <v>2.28</v>
      </c>
      <c r="M11" s="68">
        <f>ROUND(L11*2366.9/1087,2)</f>
        <v>4.96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ROUND(J12*2366.9/250,2)</f>
        <v>12.78</v>
      </c>
      <c r="L12" s="72">
        <v>1.36</v>
      </c>
      <c r="M12" s="68">
        <f>ROUND(L12*2366.9/250,2)</f>
        <v>12.88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ROUND(J13*2366.9/1020,2)</f>
        <v>8.63</v>
      </c>
      <c r="L13" s="72">
        <v>3.87</v>
      </c>
      <c r="M13" s="68">
        <f>ROUND(L13*2366.9/1020,2)</f>
        <v>8.98</v>
      </c>
      <c r="N13" s="641"/>
      <c r="O13" s="68">
        <f>(J13+L13)/2*2366.9</f>
        <v>8982.3855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35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61"/>
  <sheetViews>
    <sheetView view="pageBreakPreview" zoomScaleSheetLayoutView="100" zoomScalePageLayoutView="0" workbookViewId="0" topLeftCell="A151">
      <selection activeCell="I185" sqref="I185"/>
    </sheetView>
  </sheetViews>
  <sheetFormatPr defaultColWidth="9.00390625" defaultRowHeight="15.75"/>
  <cols>
    <col min="1" max="1" width="9.00390625" style="0" customWidth="1"/>
    <col min="2" max="2" width="30.625" style="0" customWidth="1"/>
    <col min="3" max="3" width="5.50390625" style="0" customWidth="1"/>
    <col min="4" max="4" width="10.00390625" style="0" customWidth="1"/>
    <col min="5" max="5" width="10.375" style="0" customWidth="1"/>
    <col min="6" max="6" width="9.375" style="0" customWidth="1"/>
    <col min="7" max="7" width="8.75390625" style="0" customWidth="1"/>
    <col min="8" max="8" width="9.00390625" style="0" customWidth="1"/>
    <col min="9" max="9" width="10.75390625" style="0" customWidth="1"/>
    <col min="10" max="10" width="8.00390625" style="0" hidden="1" customWidth="1"/>
  </cols>
  <sheetData>
    <row r="1" spans="1:10" ht="12.75" customHeight="1">
      <c r="A1" s="117"/>
      <c r="B1" s="117"/>
      <c r="C1" s="117"/>
      <c r="D1" s="117"/>
      <c r="E1" s="117"/>
      <c r="F1" s="117"/>
      <c r="G1" s="117"/>
      <c r="H1" s="117"/>
      <c r="I1" s="144" t="s">
        <v>1015</v>
      </c>
      <c r="J1" s="117"/>
    </row>
    <row r="2" spans="1:10" ht="13.5" customHeight="1">
      <c r="A2" s="524" t="s">
        <v>1016</v>
      </c>
      <c r="B2" s="524"/>
      <c r="C2" s="524"/>
      <c r="D2" s="524"/>
      <c r="E2" s="524"/>
      <c r="F2" s="524"/>
      <c r="G2" s="524"/>
      <c r="H2" s="524"/>
      <c r="I2" s="524"/>
      <c r="J2" s="291"/>
    </row>
    <row r="3" spans="1:10" ht="13.5" customHeight="1">
      <c r="A3" s="525" t="s">
        <v>1017</v>
      </c>
      <c r="B3" s="525"/>
      <c r="C3" s="525"/>
      <c r="D3" s="525"/>
      <c r="E3" s="525"/>
      <c r="F3" s="525"/>
      <c r="G3" s="525"/>
      <c r="H3" s="525"/>
      <c r="I3" s="525"/>
      <c r="J3" s="291"/>
    </row>
    <row r="4" spans="1:10" ht="13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3.5" customHeight="1">
      <c r="A5" s="156"/>
      <c r="B5" s="156"/>
      <c r="C5" s="156"/>
      <c r="D5" s="292"/>
      <c r="E5" s="153"/>
      <c r="F5" s="153"/>
      <c r="G5" s="153"/>
      <c r="H5" s="153"/>
      <c r="I5" s="153"/>
      <c r="J5" s="291"/>
    </row>
    <row r="6" spans="1:10" ht="13.5" customHeight="1">
      <c r="A6" s="161" t="s">
        <v>1018</v>
      </c>
      <c r="B6" s="215" t="s">
        <v>1019</v>
      </c>
      <c r="C6" s="215" t="s">
        <v>901</v>
      </c>
      <c r="D6" s="503" t="s">
        <v>556</v>
      </c>
      <c r="E6" s="503"/>
      <c r="F6" s="503"/>
      <c r="G6" s="526" t="s">
        <v>902</v>
      </c>
      <c r="H6" s="526"/>
      <c r="I6" s="526"/>
      <c r="J6" s="293"/>
    </row>
    <row r="7" spans="1:10" ht="13.5" customHeight="1">
      <c r="A7" s="165" t="s">
        <v>1020</v>
      </c>
      <c r="B7" s="217" t="s">
        <v>1021</v>
      </c>
      <c r="C7" s="217" t="s">
        <v>903</v>
      </c>
      <c r="D7" s="527" t="s">
        <v>1022</v>
      </c>
      <c r="E7" s="527" t="s">
        <v>934</v>
      </c>
      <c r="F7" s="505" t="s">
        <v>559</v>
      </c>
      <c r="G7" s="527" t="s">
        <v>933</v>
      </c>
      <c r="H7" s="527" t="s">
        <v>934</v>
      </c>
      <c r="I7" s="528" t="s">
        <v>559</v>
      </c>
      <c r="J7" s="293"/>
    </row>
    <row r="8" spans="1:10" ht="13.5" customHeight="1">
      <c r="A8" s="165" t="s">
        <v>1023</v>
      </c>
      <c r="B8" s="217" t="s">
        <v>1024</v>
      </c>
      <c r="C8" s="217" t="s">
        <v>906</v>
      </c>
      <c r="D8" s="527"/>
      <c r="E8" s="527"/>
      <c r="F8" s="505"/>
      <c r="G8" s="527"/>
      <c r="H8" s="527"/>
      <c r="I8" s="528"/>
      <c r="J8" s="293"/>
    </row>
    <row r="9" spans="1:10" ht="13.5" customHeight="1">
      <c r="A9" s="172" t="s">
        <v>1025</v>
      </c>
      <c r="B9" s="219"/>
      <c r="C9" s="219"/>
      <c r="D9" s="527"/>
      <c r="E9" s="527"/>
      <c r="F9" s="505"/>
      <c r="G9" s="527"/>
      <c r="H9" s="527"/>
      <c r="I9" s="528"/>
      <c r="J9" s="293"/>
    </row>
    <row r="10" spans="1:10" ht="13.5" customHeight="1" thickBot="1">
      <c r="A10" s="294">
        <v>1</v>
      </c>
      <c r="B10" s="295">
        <v>2</v>
      </c>
      <c r="C10" s="121">
        <v>3</v>
      </c>
      <c r="D10" s="177">
        <v>4</v>
      </c>
      <c r="E10" s="177">
        <v>5</v>
      </c>
      <c r="F10" s="177">
        <v>6</v>
      </c>
      <c r="G10" s="177">
        <v>7</v>
      </c>
      <c r="H10" s="177">
        <v>8</v>
      </c>
      <c r="I10" s="296">
        <v>9</v>
      </c>
      <c r="J10" s="293"/>
    </row>
    <row r="11" spans="1:10" ht="15" customHeight="1">
      <c r="A11" s="297" t="s">
        <v>1026</v>
      </c>
      <c r="B11" s="298" t="s">
        <v>1027</v>
      </c>
      <c r="C11" s="224" t="s">
        <v>564</v>
      </c>
      <c r="D11" s="299" t="s">
        <v>1028</v>
      </c>
      <c r="E11" s="299" t="s">
        <v>1028</v>
      </c>
      <c r="F11" s="299" t="s">
        <v>1028</v>
      </c>
      <c r="G11" s="299" t="s">
        <v>1028</v>
      </c>
      <c r="H11" s="299" t="s">
        <v>1028</v>
      </c>
      <c r="I11" s="300" t="s">
        <v>1028</v>
      </c>
      <c r="J11" s="301"/>
    </row>
    <row r="12" spans="1:10" ht="13.5" customHeight="1">
      <c r="A12" s="302"/>
      <c r="B12" s="303" t="s">
        <v>1002</v>
      </c>
      <c r="C12" s="191"/>
      <c r="D12" s="304"/>
      <c r="E12" s="305"/>
      <c r="F12" s="305"/>
      <c r="G12" s="305"/>
      <c r="H12" s="305"/>
      <c r="I12" s="306"/>
      <c r="J12" s="301"/>
    </row>
    <row r="13" spans="1:10" ht="15" customHeight="1">
      <c r="A13" s="302"/>
      <c r="B13" s="307" t="s">
        <v>1029</v>
      </c>
      <c r="C13" s="186" t="s">
        <v>565</v>
      </c>
      <c r="D13" s="308" t="s">
        <v>1028</v>
      </c>
      <c r="E13" s="308" t="s">
        <v>1028</v>
      </c>
      <c r="F13" s="308" t="s">
        <v>1028</v>
      </c>
      <c r="G13" s="308" t="s">
        <v>1028</v>
      </c>
      <c r="H13" s="308" t="s">
        <v>1028</v>
      </c>
      <c r="I13" s="309" t="s">
        <v>1028</v>
      </c>
      <c r="J13" s="301"/>
    </row>
    <row r="14" spans="1:10" ht="13.5" customHeight="1">
      <c r="A14" s="302"/>
      <c r="B14" s="310" t="s">
        <v>1030</v>
      </c>
      <c r="C14" s="191"/>
      <c r="D14" s="304"/>
      <c r="E14" s="305"/>
      <c r="F14" s="305"/>
      <c r="G14" s="305"/>
      <c r="H14" s="305"/>
      <c r="I14" s="306"/>
      <c r="J14" s="301"/>
    </row>
    <row r="15" spans="1:10" ht="15" customHeight="1">
      <c r="A15" s="302"/>
      <c r="B15" s="311" t="s">
        <v>1031</v>
      </c>
      <c r="C15" s="186" t="s">
        <v>917</v>
      </c>
      <c r="D15" s="308" t="s">
        <v>1028</v>
      </c>
      <c r="E15" s="308" t="s">
        <v>1028</v>
      </c>
      <c r="F15" s="308" t="s">
        <v>1028</v>
      </c>
      <c r="G15" s="308" t="s">
        <v>1028</v>
      </c>
      <c r="H15" s="308" t="s">
        <v>1028</v>
      </c>
      <c r="I15" s="309" t="s">
        <v>1028</v>
      </c>
      <c r="J15" s="301"/>
    </row>
    <row r="16" spans="1:10" ht="15" customHeight="1">
      <c r="A16" s="302"/>
      <c r="B16" s="312" t="s">
        <v>1032</v>
      </c>
      <c r="C16" s="196" t="s">
        <v>1033</v>
      </c>
      <c r="D16" s="313" t="s">
        <v>1028</v>
      </c>
      <c r="E16" s="313" t="s">
        <v>1028</v>
      </c>
      <c r="F16" s="313" t="s">
        <v>1028</v>
      </c>
      <c r="G16" s="313" t="s">
        <v>1028</v>
      </c>
      <c r="H16" s="313" t="s">
        <v>1028</v>
      </c>
      <c r="I16" s="314" t="s">
        <v>1028</v>
      </c>
      <c r="J16" s="301"/>
    </row>
    <row r="17" spans="1:10" ht="13.5" customHeight="1">
      <c r="A17" s="302"/>
      <c r="B17" s="312"/>
      <c r="C17" s="196"/>
      <c r="D17" s="315"/>
      <c r="E17" s="197"/>
      <c r="F17" s="197"/>
      <c r="G17" s="197"/>
      <c r="H17" s="197"/>
      <c r="I17" s="198"/>
      <c r="J17" s="301"/>
    </row>
    <row r="18" spans="1:10" ht="13.5" customHeight="1">
      <c r="A18" s="302"/>
      <c r="B18" s="312"/>
      <c r="C18" s="196"/>
      <c r="D18" s="315"/>
      <c r="E18" s="197"/>
      <c r="F18" s="197"/>
      <c r="G18" s="197"/>
      <c r="H18" s="197"/>
      <c r="I18" s="198"/>
      <c r="J18" s="301"/>
    </row>
    <row r="19" spans="1:10" ht="13.5" customHeight="1">
      <c r="A19" s="316"/>
      <c r="B19" s="317"/>
      <c r="C19" s="318"/>
      <c r="D19" s="319"/>
      <c r="E19" s="320"/>
      <c r="F19" s="320"/>
      <c r="G19" s="320"/>
      <c r="H19" s="320"/>
      <c r="I19" s="321"/>
      <c r="J19" s="301"/>
    </row>
    <row r="20" spans="1:10" ht="15" customHeight="1">
      <c r="A20" s="322" t="s">
        <v>1034</v>
      </c>
      <c r="B20" s="298" t="s">
        <v>1035</v>
      </c>
      <c r="C20" s="196" t="s">
        <v>568</v>
      </c>
      <c r="D20" s="313" t="s">
        <v>1028</v>
      </c>
      <c r="E20" s="313" t="s">
        <v>1028</v>
      </c>
      <c r="F20" s="313" t="s">
        <v>1028</v>
      </c>
      <c r="G20" s="313" t="s">
        <v>1028</v>
      </c>
      <c r="H20" s="313" t="s">
        <v>1028</v>
      </c>
      <c r="I20" s="314" t="s">
        <v>1028</v>
      </c>
      <c r="J20" s="301"/>
    </row>
    <row r="21" spans="1:10" ht="13.5" customHeight="1">
      <c r="A21" s="302"/>
      <c r="B21" s="303" t="s">
        <v>1002</v>
      </c>
      <c r="C21" s="191"/>
      <c r="D21" s="304"/>
      <c r="E21" s="305"/>
      <c r="F21" s="305"/>
      <c r="G21" s="305"/>
      <c r="H21" s="305"/>
      <c r="I21" s="306"/>
      <c r="J21" s="301"/>
    </row>
    <row r="22" spans="1:10" ht="13.5" customHeight="1">
      <c r="A22" s="302"/>
      <c r="B22" s="307"/>
      <c r="C22" s="186"/>
      <c r="D22" s="323"/>
      <c r="E22" s="187"/>
      <c r="F22" s="187"/>
      <c r="G22" s="187"/>
      <c r="H22" s="187"/>
      <c r="I22" s="188"/>
      <c r="J22" s="301"/>
    </row>
    <row r="23" spans="1:10" ht="13.5" customHeight="1">
      <c r="A23" s="152"/>
      <c r="B23" s="324"/>
      <c r="C23" s="196"/>
      <c r="D23" s="315"/>
      <c r="E23" s="197"/>
      <c r="F23" s="197"/>
      <c r="G23" s="197"/>
      <c r="H23" s="197"/>
      <c r="I23" s="198"/>
      <c r="J23" s="301"/>
    </row>
    <row r="24" spans="1:10" ht="15" customHeight="1">
      <c r="A24" s="322" t="s">
        <v>1036</v>
      </c>
      <c r="B24" s="298" t="s">
        <v>1037</v>
      </c>
      <c r="C24" s="196" t="s">
        <v>572</v>
      </c>
      <c r="D24" s="313" t="s">
        <v>1028</v>
      </c>
      <c r="E24" s="313" t="s">
        <v>1028</v>
      </c>
      <c r="F24" s="313" t="s">
        <v>1028</v>
      </c>
      <c r="G24" s="313" t="s">
        <v>1028</v>
      </c>
      <c r="H24" s="313" t="s">
        <v>1028</v>
      </c>
      <c r="I24" s="314" t="s">
        <v>1028</v>
      </c>
      <c r="J24" s="301"/>
    </row>
    <row r="25" spans="1:10" ht="13.5" customHeight="1">
      <c r="A25" s="302"/>
      <c r="B25" s="303" t="s">
        <v>1002</v>
      </c>
      <c r="C25" s="191"/>
      <c r="D25" s="304"/>
      <c r="E25" s="305"/>
      <c r="F25" s="305"/>
      <c r="G25" s="305"/>
      <c r="H25" s="305"/>
      <c r="I25" s="306"/>
      <c r="J25" s="301"/>
    </row>
    <row r="26" spans="1:10" ht="13.5" customHeight="1">
      <c r="A26" s="302"/>
      <c r="B26" s="307"/>
      <c r="C26" s="186"/>
      <c r="D26" s="323"/>
      <c r="E26" s="187"/>
      <c r="F26" s="187"/>
      <c r="G26" s="187"/>
      <c r="H26" s="187"/>
      <c r="I26" s="188"/>
      <c r="J26" s="301"/>
    </row>
    <row r="27" spans="1:10" ht="13.5" customHeight="1">
      <c r="A27" s="152"/>
      <c r="B27" s="324"/>
      <c r="C27" s="196"/>
      <c r="D27" s="315"/>
      <c r="E27" s="197"/>
      <c r="F27" s="197"/>
      <c r="G27" s="197"/>
      <c r="H27" s="197"/>
      <c r="I27" s="198"/>
      <c r="J27" s="301"/>
    </row>
    <row r="28" spans="1:10" ht="15" customHeight="1">
      <c r="A28" s="322" t="s">
        <v>1038</v>
      </c>
      <c r="B28" s="298" t="s">
        <v>1039</v>
      </c>
      <c r="C28" s="196" t="s">
        <v>576</v>
      </c>
      <c r="D28" s="313" t="s">
        <v>1028</v>
      </c>
      <c r="E28" s="313" t="s">
        <v>1028</v>
      </c>
      <c r="F28" s="313" t="s">
        <v>1028</v>
      </c>
      <c r="G28" s="313" t="s">
        <v>1028</v>
      </c>
      <c r="H28" s="313" t="s">
        <v>1028</v>
      </c>
      <c r="I28" s="314" t="s">
        <v>1028</v>
      </c>
      <c r="J28" s="301"/>
    </row>
    <row r="29" spans="1:10" ht="13.5" customHeight="1">
      <c r="A29" s="302"/>
      <c r="B29" s="303" t="s">
        <v>632</v>
      </c>
      <c r="C29" s="191"/>
      <c r="D29" s="304"/>
      <c r="E29" s="305"/>
      <c r="F29" s="305"/>
      <c r="G29" s="305"/>
      <c r="H29" s="305"/>
      <c r="I29" s="306"/>
      <c r="J29" s="301"/>
    </row>
    <row r="30" spans="1:10" ht="13.5" customHeight="1">
      <c r="A30" s="302"/>
      <c r="B30" s="307"/>
      <c r="C30" s="186"/>
      <c r="D30" s="323"/>
      <c r="E30" s="187"/>
      <c r="F30" s="187"/>
      <c r="G30" s="187"/>
      <c r="H30" s="187"/>
      <c r="I30" s="188"/>
      <c r="J30" s="301"/>
    </row>
    <row r="31" spans="1:10" ht="13.5" customHeight="1">
      <c r="A31" s="152"/>
      <c r="B31" s="324"/>
      <c r="C31" s="196"/>
      <c r="D31" s="315"/>
      <c r="E31" s="197"/>
      <c r="F31" s="197"/>
      <c r="G31" s="197"/>
      <c r="H31" s="197"/>
      <c r="I31" s="198"/>
      <c r="J31" s="301"/>
    </row>
    <row r="32" spans="1:10" ht="20.25" customHeight="1">
      <c r="A32" s="322" t="s">
        <v>1040</v>
      </c>
      <c r="B32" s="298" t="s">
        <v>1041</v>
      </c>
      <c r="C32" s="196" t="s">
        <v>579</v>
      </c>
      <c r="D32" s="313" t="s">
        <v>1028</v>
      </c>
      <c r="E32" s="313" t="s">
        <v>1028</v>
      </c>
      <c r="F32" s="313" t="s">
        <v>1028</v>
      </c>
      <c r="G32" s="313" t="s">
        <v>1028</v>
      </c>
      <c r="H32" s="313" t="s">
        <v>1028</v>
      </c>
      <c r="I32" s="314" t="s">
        <v>1028</v>
      </c>
      <c r="J32" s="301"/>
    </row>
    <row r="33" spans="1:10" ht="13.5" customHeight="1">
      <c r="A33" s="302"/>
      <c r="B33" s="303" t="s">
        <v>1002</v>
      </c>
      <c r="C33" s="191"/>
      <c r="D33" s="304"/>
      <c r="E33" s="305"/>
      <c r="F33" s="305"/>
      <c r="G33" s="305"/>
      <c r="H33" s="305"/>
      <c r="I33" s="306"/>
      <c r="J33" s="301"/>
    </row>
    <row r="34" spans="1:10" ht="15" customHeight="1">
      <c r="A34" s="302"/>
      <c r="B34" s="307" t="s">
        <v>1042</v>
      </c>
      <c r="C34" s="186" t="s">
        <v>942</v>
      </c>
      <c r="D34" s="308" t="s">
        <v>1028</v>
      </c>
      <c r="E34" s="308" t="s">
        <v>1028</v>
      </c>
      <c r="F34" s="308" t="s">
        <v>1028</v>
      </c>
      <c r="G34" s="308" t="s">
        <v>1028</v>
      </c>
      <c r="H34" s="308" t="s">
        <v>1028</v>
      </c>
      <c r="I34" s="309" t="s">
        <v>1028</v>
      </c>
      <c r="J34" s="301"/>
    </row>
    <row r="35" spans="1:10" ht="13.5" customHeight="1">
      <c r="A35" s="302"/>
      <c r="B35" s="310" t="s">
        <v>1043</v>
      </c>
      <c r="C35" s="191"/>
      <c r="D35" s="304"/>
      <c r="E35" s="305"/>
      <c r="F35" s="305"/>
      <c r="G35" s="305"/>
      <c r="H35" s="305"/>
      <c r="I35" s="306"/>
      <c r="J35" s="301"/>
    </row>
    <row r="36" spans="1:10" ht="15" customHeight="1" thickBot="1">
      <c r="A36" s="325"/>
      <c r="B36" s="311" t="s">
        <v>1044</v>
      </c>
      <c r="C36" s="326" t="s">
        <v>580</v>
      </c>
      <c r="D36" s="327" t="s">
        <v>1028</v>
      </c>
      <c r="E36" s="327" t="s">
        <v>1028</v>
      </c>
      <c r="F36" s="327" t="s">
        <v>1028</v>
      </c>
      <c r="G36" s="327" t="s">
        <v>1028</v>
      </c>
      <c r="H36" s="327" t="s">
        <v>1028</v>
      </c>
      <c r="I36" s="328" t="s">
        <v>1028</v>
      </c>
      <c r="J36" s="301"/>
    </row>
    <row r="37" spans="1:10" ht="13.5" customHeight="1">
      <c r="A37" s="329"/>
      <c r="B37" s="330"/>
      <c r="C37" s="329"/>
      <c r="D37" s="331"/>
      <c r="E37" s="332"/>
      <c r="F37" s="332"/>
      <c r="G37" s="332"/>
      <c r="H37" s="333" t="s">
        <v>1045</v>
      </c>
      <c r="I37" s="334"/>
      <c r="J37" s="291"/>
    </row>
    <row r="38" spans="1:10" ht="13.5" customHeight="1">
      <c r="A38" s="232"/>
      <c r="B38" s="335"/>
      <c r="C38" s="232"/>
      <c r="D38" s="336"/>
      <c r="E38" s="337"/>
      <c r="F38" s="337"/>
      <c r="G38" s="337"/>
      <c r="H38" s="144"/>
      <c r="I38" s="291"/>
      <c r="J38" s="291"/>
    </row>
    <row r="39" spans="1:10" ht="13.5" customHeight="1">
      <c r="A39" s="208"/>
      <c r="B39" s="338"/>
      <c r="C39" s="339"/>
      <c r="D39" s="340"/>
      <c r="E39" s="341"/>
      <c r="F39" s="341"/>
      <c r="G39" s="341"/>
      <c r="H39" s="208"/>
      <c r="I39" s="156" t="s">
        <v>1046</v>
      </c>
      <c r="J39" s="291"/>
    </row>
    <row r="40" spans="1:10" ht="13.5" customHeight="1" thickBot="1">
      <c r="A40" s="294">
        <v>1</v>
      </c>
      <c r="B40" s="295">
        <v>2</v>
      </c>
      <c r="C40" s="121">
        <v>3</v>
      </c>
      <c r="D40" s="121">
        <v>4</v>
      </c>
      <c r="E40" s="121">
        <v>5</v>
      </c>
      <c r="F40" s="121">
        <v>6</v>
      </c>
      <c r="G40" s="121">
        <v>7</v>
      </c>
      <c r="H40" s="121">
        <v>8</v>
      </c>
      <c r="I40" s="342">
        <v>9</v>
      </c>
      <c r="J40" s="291"/>
    </row>
    <row r="41" spans="1:10" ht="15" customHeight="1">
      <c r="A41" s="297" t="s">
        <v>1040</v>
      </c>
      <c r="B41" s="343" t="s">
        <v>1047</v>
      </c>
      <c r="C41" s="224" t="s">
        <v>1048</v>
      </c>
      <c r="D41" s="299" t="s">
        <v>1028</v>
      </c>
      <c r="E41" s="299" t="s">
        <v>1028</v>
      </c>
      <c r="F41" s="299" t="s">
        <v>1028</v>
      </c>
      <c r="G41" s="299" t="s">
        <v>1028</v>
      </c>
      <c r="H41" s="299" t="s">
        <v>1028</v>
      </c>
      <c r="I41" s="300" t="s">
        <v>1028</v>
      </c>
      <c r="J41" s="301"/>
    </row>
    <row r="42" spans="1:10" ht="13.5" customHeight="1">
      <c r="A42" s="302"/>
      <c r="B42" s="310" t="s">
        <v>1012</v>
      </c>
      <c r="C42" s="191"/>
      <c r="D42" s="304"/>
      <c r="E42" s="305"/>
      <c r="F42" s="305"/>
      <c r="G42" s="305"/>
      <c r="H42" s="305"/>
      <c r="I42" s="306"/>
      <c r="J42" s="301"/>
    </row>
    <row r="43" spans="1:10" ht="15" customHeight="1">
      <c r="A43" s="302"/>
      <c r="B43" s="311" t="s">
        <v>1044</v>
      </c>
      <c r="C43" s="186" t="s">
        <v>1049</v>
      </c>
      <c r="D43" s="308" t="s">
        <v>1028</v>
      </c>
      <c r="E43" s="308" t="s">
        <v>1028</v>
      </c>
      <c r="F43" s="308" t="s">
        <v>1028</v>
      </c>
      <c r="G43" s="308" t="s">
        <v>1028</v>
      </c>
      <c r="H43" s="308" t="s">
        <v>1028</v>
      </c>
      <c r="I43" s="309" t="s">
        <v>1028</v>
      </c>
      <c r="J43" s="301"/>
    </row>
    <row r="44" spans="1:10" ht="13.5" customHeight="1">
      <c r="A44" s="152"/>
      <c r="B44" s="317"/>
      <c r="C44" s="318"/>
      <c r="D44" s="319"/>
      <c r="E44" s="320"/>
      <c r="F44" s="320"/>
      <c r="G44" s="320"/>
      <c r="H44" s="320"/>
      <c r="I44" s="321"/>
      <c r="J44" s="301"/>
    </row>
    <row r="45" spans="1:10" ht="20.25" customHeight="1">
      <c r="A45" s="154" t="s">
        <v>1050</v>
      </c>
      <c r="B45" s="344" t="s">
        <v>1051</v>
      </c>
      <c r="C45" s="196" t="s">
        <v>582</v>
      </c>
      <c r="D45" s="313" t="s">
        <v>1028</v>
      </c>
      <c r="E45" s="313" t="s">
        <v>1028</v>
      </c>
      <c r="F45" s="313" t="s">
        <v>1028</v>
      </c>
      <c r="G45" s="313" t="s">
        <v>1028</v>
      </c>
      <c r="H45" s="313" t="s">
        <v>1028</v>
      </c>
      <c r="I45" s="314" t="s">
        <v>1028</v>
      </c>
      <c r="J45" s="301"/>
    </row>
    <row r="46" spans="1:10" ht="20.25" customHeight="1">
      <c r="A46" s="322" t="s">
        <v>1052</v>
      </c>
      <c r="B46" s="345" t="s">
        <v>1053</v>
      </c>
      <c r="C46" s="196" t="s">
        <v>585</v>
      </c>
      <c r="D46" s="313" t="s">
        <v>1028</v>
      </c>
      <c r="E46" s="313" t="s">
        <v>1028</v>
      </c>
      <c r="F46" s="313" t="s">
        <v>1028</v>
      </c>
      <c r="G46" s="313" t="s">
        <v>1028</v>
      </c>
      <c r="H46" s="313" t="s">
        <v>1028</v>
      </c>
      <c r="I46" s="314" t="s">
        <v>1028</v>
      </c>
      <c r="J46" s="301"/>
    </row>
    <row r="47" spans="1:10" ht="13.5" customHeight="1">
      <c r="A47" s="302"/>
      <c r="B47" s="303" t="s">
        <v>1002</v>
      </c>
      <c r="C47" s="191"/>
      <c r="D47" s="304"/>
      <c r="E47" s="305"/>
      <c r="F47" s="305"/>
      <c r="G47" s="305"/>
      <c r="H47" s="305"/>
      <c r="I47" s="306"/>
      <c r="J47" s="301"/>
    </row>
    <row r="48" spans="1:10" ht="15" customHeight="1">
      <c r="A48" s="302"/>
      <c r="B48" s="307" t="s">
        <v>1054</v>
      </c>
      <c r="C48" s="186" t="s">
        <v>1055</v>
      </c>
      <c r="D48" s="308" t="s">
        <v>1028</v>
      </c>
      <c r="E48" s="308" t="s">
        <v>1028</v>
      </c>
      <c r="F48" s="308" t="s">
        <v>1028</v>
      </c>
      <c r="G48" s="308" t="s">
        <v>1028</v>
      </c>
      <c r="H48" s="308" t="s">
        <v>1028</v>
      </c>
      <c r="I48" s="309" t="s">
        <v>1028</v>
      </c>
      <c r="J48" s="301"/>
    </row>
    <row r="49" spans="1:10" ht="15" customHeight="1">
      <c r="A49" s="152"/>
      <c r="B49" s="346" t="s">
        <v>1056</v>
      </c>
      <c r="C49" s="196" t="s">
        <v>1057</v>
      </c>
      <c r="D49" s="313" t="s">
        <v>1028</v>
      </c>
      <c r="E49" s="313" t="s">
        <v>1028</v>
      </c>
      <c r="F49" s="313" t="s">
        <v>1028</v>
      </c>
      <c r="G49" s="313" t="s">
        <v>1028</v>
      </c>
      <c r="H49" s="313" t="s">
        <v>1028</v>
      </c>
      <c r="I49" s="314" t="s">
        <v>1028</v>
      </c>
      <c r="J49" s="301"/>
    </row>
    <row r="50" spans="1:10" ht="15" customHeight="1">
      <c r="A50" s="154" t="s">
        <v>1058</v>
      </c>
      <c r="B50" s="344" t="s">
        <v>1059</v>
      </c>
      <c r="C50" s="196" t="s">
        <v>586</v>
      </c>
      <c r="D50" s="313" t="s">
        <v>1028</v>
      </c>
      <c r="E50" s="313" t="s">
        <v>1028</v>
      </c>
      <c r="F50" s="313" t="s">
        <v>1028</v>
      </c>
      <c r="G50" s="313" t="s">
        <v>1028</v>
      </c>
      <c r="H50" s="313" t="s">
        <v>1028</v>
      </c>
      <c r="I50" s="314" t="s">
        <v>1028</v>
      </c>
      <c r="J50" s="301"/>
    </row>
    <row r="51" spans="1:10" ht="20.25" customHeight="1">
      <c r="A51" s="154" t="s">
        <v>1060</v>
      </c>
      <c r="B51" s="344" t="s">
        <v>1061</v>
      </c>
      <c r="C51" s="196" t="s">
        <v>587</v>
      </c>
      <c r="D51" s="313" t="s">
        <v>1028</v>
      </c>
      <c r="E51" s="313">
        <v>706124.33</v>
      </c>
      <c r="F51" s="313">
        <v>706124.33</v>
      </c>
      <c r="G51" s="313">
        <v>72020</v>
      </c>
      <c r="H51" s="313">
        <v>740874.33</v>
      </c>
      <c r="I51" s="314">
        <v>812894.33</v>
      </c>
      <c r="J51" s="301"/>
    </row>
    <row r="52" spans="1:10" ht="15" customHeight="1">
      <c r="A52" s="322" t="s">
        <v>1062</v>
      </c>
      <c r="B52" s="345" t="s">
        <v>1063</v>
      </c>
      <c r="C52" s="196" t="s">
        <v>595</v>
      </c>
      <c r="D52" s="313" t="s">
        <v>1028</v>
      </c>
      <c r="E52" s="313" t="s">
        <v>1028</v>
      </c>
      <c r="F52" s="313" t="s">
        <v>1028</v>
      </c>
      <c r="G52" s="313" t="s">
        <v>1028</v>
      </c>
      <c r="H52" s="313" t="s">
        <v>1028</v>
      </c>
      <c r="I52" s="314" t="s">
        <v>1028</v>
      </c>
      <c r="J52" s="301"/>
    </row>
    <row r="53" spans="1:10" ht="13.5" customHeight="1">
      <c r="A53" s="302"/>
      <c r="B53" s="303" t="s">
        <v>1002</v>
      </c>
      <c r="C53" s="191"/>
      <c r="D53" s="304"/>
      <c r="E53" s="305"/>
      <c r="F53" s="305"/>
      <c r="G53" s="305"/>
      <c r="H53" s="305"/>
      <c r="I53" s="306"/>
      <c r="J53" s="301"/>
    </row>
    <row r="54" spans="1:10" ht="15" customHeight="1">
      <c r="A54" s="302"/>
      <c r="B54" s="307" t="s">
        <v>1064</v>
      </c>
      <c r="C54" s="186" t="s">
        <v>597</v>
      </c>
      <c r="D54" s="308" t="s">
        <v>1028</v>
      </c>
      <c r="E54" s="308" t="s">
        <v>1028</v>
      </c>
      <c r="F54" s="308" t="s">
        <v>1028</v>
      </c>
      <c r="G54" s="308" t="s">
        <v>1028</v>
      </c>
      <c r="H54" s="308" t="s">
        <v>1028</v>
      </c>
      <c r="I54" s="309" t="s">
        <v>1028</v>
      </c>
      <c r="J54" s="301"/>
    </row>
    <row r="55" spans="1:10" ht="15" customHeight="1">
      <c r="A55" s="302"/>
      <c r="B55" s="312" t="s">
        <v>1065</v>
      </c>
      <c r="C55" s="196" t="s">
        <v>957</v>
      </c>
      <c r="D55" s="313" t="s">
        <v>1028</v>
      </c>
      <c r="E55" s="313" t="s">
        <v>1028</v>
      </c>
      <c r="F55" s="313" t="s">
        <v>1028</v>
      </c>
      <c r="G55" s="313" t="s">
        <v>1028</v>
      </c>
      <c r="H55" s="313" t="s">
        <v>1028</v>
      </c>
      <c r="I55" s="314" t="s">
        <v>1028</v>
      </c>
      <c r="J55" s="301"/>
    </row>
    <row r="56" spans="1:10" ht="15" customHeight="1">
      <c r="A56" s="302"/>
      <c r="B56" s="312" t="s">
        <v>1066</v>
      </c>
      <c r="C56" s="196" t="s">
        <v>599</v>
      </c>
      <c r="D56" s="313" t="s">
        <v>1028</v>
      </c>
      <c r="E56" s="313" t="s">
        <v>1028</v>
      </c>
      <c r="F56" s="313" t="s">
        <v>1028</v>
      </c>
      <c r="G56" s="313" t="s">
        <v>1028</v>
      </c>
      <c r="H56" s="313" t="s">
        <v>1028</v>
      </c>
      <c r="I56" s="314" t="s">
        <v>1028</v>
      </c>
      <c r="J56" s="301"/>
    </row>
    <row r="57" spans="1:10" ht="15" customHeight="1">
      <c r="A57" s="302"/>
      <c r="B57" s="312" t="s">
        <v>1067</v>
      </c>
      <c r="C57" s="196" t="s">
        <v>601</v>
      </c>
      <c r="D57" s="313" t="s">
        <v>1028</v>
      </c>
      <c r="E57" s="313" t="s">
        <v>1028</v>
      </c>
      <c r="F57" s="313" t="s">
        <v>1028</v>
      </c>
      <c r="G57" s="313" t="s">
        <v>1028</v>
      </c>
      <c r="H57" s="313" t="s">
        <v>1028</v>
      </c>
      <c r="I57" s="314" t="s">
        <v>1028</v>
      </c>
      <c r="J57" s="301"/>
    </row>
    <row r="58" spans="1:10" ht="15" customHeight="1">
      <c r="A58" s="152"/>
      <c r="B58" s="346" t="s">
        <v>1068</v>
      </c>
      <c r="C58" s="196" t="s">
        <v>1069</v>
      </c>
      <c r="D58" s="313" t="s">
        <v>1028</v>
      </c>
      <c r="E58" s="313" t="s">
        <v>1028</v>
      </c>
      <c r="F58" s="313" t="s">
        <v>1028</v>
      </c>
      <c r="G58" s="313" t="s">
        <v>1028</v>
      </c>
      <c r="H58" s="313" t="s">
        <v>1028</v>
      </c>
      <c r="I58" s="314" t="s">
        <v>1028</v>
      </c>
      <c r="J58" s="301"/>
    </row>
    <row r="59" spans="1:10" ht="30" customHeight="1">
      <c r="A59" s="322" t="s">
        <v>1070</v>
      </c>
      <c r="B59" s="345" t="s">
        <v>1071</v>
      </c>
      <c r="C59" s="196" t="s">
        <v>608</v>
      </c>
      <c r="D59" s="313" t="s">
        <v>1028</v>
      </c>
      <c r="E59" s="313" t="s">
        <v>1028</v>
      </c>
      <c r="F59" s="313" t="s">
        <v>1028</v>
      </c>
      <c r="G59" s="313" t="s">
        <v>1028</v>
      </c>
      <c r="H59" s="313" t="s">
        <v>1028</v>
      </c>
      <c r="I59" s="314" t="s">
        <v>1028</v>
      </c>
      <c r="J59" s="301"/>
    </row>
    <row r="60" spans="1:10" ht="13.5" customHeight="1">
      <c r="A60" s="302"/>
      <c r="B60" s="303" t="s">
        <v>1002</v>
      </c>
      <c r="C60" s="191"/>
      <c r="D60" s="304"/>
      <c r="E60" s="305"/>
      <c r="F60" s="305"/>
      <c r="G60" s="305"/>
      <c r="H60" s="305"/>
      <c r="I60" s="306"/>
      <c r="J60" s="301"/>
    </row>
    <row r="61" spans="1:10" ht="13.5" customHeight="1">
      <c r="A61" s="302"/>
      <c r="B61" s="307"/>
      <c r="C61" s="186"/>
      <c r="D61" s="323"/>
      <c r="E61" s="187"/>
      <c r="F61" s="187"/>
      <c r="G61" s="187"/>
      <c r="H61" s="187"/>
      <c r="I61" s="188"/>
      <c r="J61" s="301"/>
    </row>
    <row r="62" spans="1:10" ht="13.5" customHeight="1">
      <c r="A62" s="152"/>
      <c r="B62" s="346"/>
      <c r="C62" s="196"/>
      <c r="D62" s="315"/>
      <c r="E62" s="197"/>
      <c r="F62" s="197"/>
      <c r="G62" s="197"/>
      <c r="H62" s="197"/>
      <c r="I62" s="198"/>
      <c r="J62" s="301"/>
    </row>
    <row r="63" spans="1:10" ht="15" customHeight="1" thickBot="1">
      <c r="A63" s="155" t="s">
        <v>1072</v>
      </c>
      <c r="B63" s="344" t="s">
        <v>1073</v>
      </c>
      <c r="C63" s="201" t="s">
        <v>609</v>
      </c>
      <c r="D63" s="347" t="s">
        <v>1028</v>
      </c>
      <c r="E63" s="347" t="s">
        <v>1028</v>
      </c>
      <c r="F63" s="347" t="s">
        <v>1028</v>
      </c>
      <c r="G63" s="347" t="s">
        <v>1028</v>
      </c>
      <c r="H63" s="347" t="s">
        <v>1028</v>
      </c>
      <c r="I63" s="348" t="s">
        <v>1028</v>
      </c>
      <c r="J63" s="301"/>
    </row>
    <row r="64" spans="1:10" ht="13.5" customHeight="1">
      <c r="A64" s="329"/>
      <c r="B64" s="349"/>
      <c r="C64" s="329"/>
      <c r="D64" s="331"/>
      <c r="E64" s="332"/>
      <c r="F64" s="332"/>
      <c r="G64" s="332"/>
      <c r="H64" s="334"/>
      <c r="I64" s="334"/>
      <c r="J64" s="291"/>
    </row>
    <row r="65" spans="1:10" ht="13.5" customHeight="1">
      <c r="A65" s="232"/>
      <c r="B65" s="335"/>
      <c r="C65" s="232"/>
      <c r="D65" s="336"/>
      <c r="E65" s="337"/>
      <c r="F65" s="337"/>
      <c r="G65" s="337"/>
      <c r="H65" s="144"/>
      <c r="I65" s="291"/>
      <c r="J65" s="291"/>
    </row>
    <row r="66" spans="1:10" ht="13.5" customHeight="1">
      <c r="A66" s="208"/>
      <c r="B66" s="338"/>
      <c r="C66" s="339"/>
      <c r="D66" s="340"/>
      <c r="E66" s="341"/>
      <c r="F66" s="341"/>
      <c r="G66" s="341"/>
      <c r="H66" s="208"/>
      <c r="I66" s="156" t="s">
        <v>1074</v>
      </c>
      <c r="J66" s="291"/>
    </row>
    <row r="67" spans="1:10" ht="13.5" customHeight="1" thickBot="1">
      <c r="A67" s="294">
        <v>1</v>
      </c>
      <c r="B67" s="295">
        <v>2</v>
      </c>
      <c r="C67" s="121">
        <v>3</v>
      </c>
      <c r="D67" s="121">
        <v>4</v>
      </c>
      <c r="E67" s="121">
        <v>5</v>
      </c>
      <c r="F67" s="121">
        <v>6</v>
      </c>
      <c r="G67" s="121">
        <v>7</v>
      </c>
      <c r="H67" s="121">
        <v>8</v>
      </c>
      <c r="I67" s="342">
        <v>9</v>
      </c>
      <c r="J67" s="291"/>
    </row>
    <row r="68" spans="1:10" ht="30" customHeight="1">
      <c r="A68" s="127" t="s">
        <v>1075</v>
      </c>
      <c r="B68" s="344" t="s">
        <v>1076</v>
      </c>
      <c r="C68" s="224" t="s">
        <v>612</v>
      </c>
      <c r="D68" s="299" t="s">
        <v>1028</v>
      </c>
      <c r="E68" s="299" t="s">
        <v>1028</v>
      </c>
      <c r="F68" s="299" t="s">
        <v>1028</v>
      </c>
      <c r="G68" s="299" t="s">
        <v>1028</v>
      </c>
      <c r="H68" s="299" t="s">
        <v>1028</v>
      </c>
      <c r="I68" s="300" t="s">
        <v>1028</v>
      </c>
      <c r="J68" s="301"/>
    </row>
    <row r="69" spans="1:10" ht="30" customHeight="1">
      <c r="A69" s="154" t="s">
        <v>1077</v>
      </c>
      <c r="B69" s="344" t="s">
        <v>1078</v>
      </c>
      <c r="C69" s="196" t="s">
        <v>698</v>
      </c>
      <c r="D69" s="313" t="s">
        <v>1028</v>
      </c>
      <c r="E69" s="313" t="s">
        <v>1028</v>
      </c>
      <c r="F69" s="313" t="s">
        <v>1028</v>
      </c>
      <c r="G69" s="313" t="s">
        <v>1028</v>
      </c>
      <c r="H69" s="313" t="s">
        <v>1028</v>
      </c>
      <c r="I69" s="314" t="s">
        <v>1028</v>
      </c>
      <c r="J69" s="301"/>
    </row>
    <row r="70" spans="1:10" ht="20.25" customHeight="1">
      <c r="A70" s="322" t="s">
        <v>1079</v>
      </c>
      <c r="B70" s="345" t="s">
        <v>1080</v>
      </c>
      <c r="C70" s="196" t="s">
        <v>614</v>
      </c>
      <c r="D70" s="313" t="s">
        <v>1028</v>
      </c>
      <c r="E70" s="313" t="s">
        <v>1028</v>
      </c>
      <c r="F70" s="313" t="s">
        <v>1028</v>
      </c>
      <c r="G70" s="313" t="s">
        <v>1028</v>
      </c>
      <c r="H70" s="313" t="s">
        <v>1028</v>
      </c>
      <c r="I70" s="314" t="s">
        <v>1028</v>
      </c>
      <c r="J70" s="301"/>
    </row>
    <row r="71" spans="1:10" ht="13.5" customHeight="1">
      <c r="A71" s="302"/>
      <c r="B71" s="303" t="s">
        <v>1002</v>
      </c>
      <c r="C71" s="191"/>
      <c r="D71" s="350"/>
      <c r="E71" s="350"/>
      <c r="F71" s="350"/>
      <c r="G71" s="305"/>
      <c r="H71" s="305"/>
      <c r="I71" s="306"/>
      <c r="J71" s="301"/>
    </row>
    <row r="72" spans="1:10" ht="15" customHeight="1">
      <c r="A72" s="302"/>
      <c r="B72" s="307" t="s">
        <v>1081</v>
      </c>
      <c r="C72" s="186" t="s">
        <v>616</v>
      </c>
      <c r="D72" s="308" t="s">
        <v>1028</v>
      </c>
      <c r="E72" s="308" t="s">
        <v>1028</v>
      </c>
      <c r="F72" s="308" t="s">
        <v>1028</v>
      </c>
      <c r="G72" s="308" t="s">
        <v>1028</v>
      </c>
      <c r="H72" s="308" t="s">
        <v>1028</v>
      </c>
      <c r="I72" s="309" t="s">
        <v>1028</v>
      </c>
      <c r="J72" s="301"/>
    </row>
    <row r="73" spans="1:10" ht="15" customHeight="1">
      <c r="A73" s="302"/>
      <c r="B73" s="312" t="s">
        <v>1082</v>
      </c>
      <c r="C73" s="196" t="s">
        <v>617</v>
      </c>
      <c r="D73" s="313" t="s">
        <v>1028</v>
      </c>
      <c r="E73" s="313" t="s">
        <v>1028</v>
      </c>
      <c r="F73" s="313" t="s">
        <v>1028</v>
      </c>
      <c r="G73" s="313" t="s">
        <v>1028</v>
      </c>
      <c r="H73" s="313" t="s">
        <v>1028</v>
      </c>
      <c r="I73" s="314" t="s">
        <v>1028</v>
      </c>
      <c r="J73" s="301"/>
    </row>
    <row r="74" spans="1:10" ht="20.25" customHeight="1">
      <c r="A74" s="152"/>
      <c r="B74" s="346" t="s">
        <v>1083</v>
      </c>
      <c r="C74" s="196" t="s">
        <v>618</v>
      </c>
      <c r="D74" s="313" t="s">
        <v>1028</v>
      </c>
      <c r="E74" s="313" t="s">
        <v>1028</v>
      </c>
      <c r="F74" s="313" t="s">
        <v>1028</v>
      </c>
      <c r="G74" s="313" t="s">
        <v>1028</v>
      </c>
      <c r="H74" s="313" t="s">
        <v>1028</v>
      </c>
      <c r="I74" s="314" t="s">
        <v>1028</v>
      </c>
      <c r="J74" s="301"/>
    </row>
    <row r="75" spans="1:10" ht="20.25" customHeight="1">
      <c r="A75" s="322" t="s">
        <v>1084</v>
      </c>
      <c r="B75" s="345" t="s">
        <v>1085</v>
      </c>
      <c r="C75" s="196" t="s">
        <v>704</v>
      </c>
      <c r="D75" s="313" t="s">
        <v>1028</v>
      </c>
      <c r="E75" s="313" t="s">
        <v>1028</v>
      </c>
      <c r="F75" s="313" t="s">
        <v>1028</v>
      </c>
      <c r="G75" s="313" t="s">
        <v>1028</v>
      </c>
      <c r="H75" s="313" t="s">
        <v>1028</v>
      </c>
      <c r="I75" s="314" t="s">
        <v>1028</v>
      </c>
      <c r="J75" s="301"/>
    </row>
    <row r="76" spans="1:10" ht="13.5" customHeight="1">
      <c r="A76" s="302"/>
      <c r="B76" s="303" t="s">
        <v>1002</v>
      </c>
      <c r="C76" s="191"/>
      <c r="D76" s="304"/>
      <c r="E76" s="350"/>
      <c r="F76" s="350"/>
      <c r="G76" s="305"/>
      <c r="H76" s="305"/>
      <c r="I76" s="306"/>
      <c r="J76" s="301"/>
    </row>
    <row r="77" spans="1:10" ht="15" customHeight="1">
      <c r="A77" s="302"/>
      <c r="B77" s="307" t="s">
        <v>1082</v>
      </c>
      <c r="C77" s="186" t="s">
        <v>1086</v>
      </c>
      <c r="D77" s="308" t="s">
        <v>1028</v>
      </c>
      <c r="E77" s="308" t="s">
        <v>1028</v>
      </c>
      <c r="F77" s="308" t="s">
        <v>1028</v>
      </c>
      <c r="G77" s="308" t="s">
        <v>1028</v>
      </c>
      <c r="H77" s="308" t="s">
        <v>1028</v>
      </c>
      <c r="I77" s="309" t="s">
        <v>1028</v>
      </c>
      <c r="J77" s="301"/>
    </row>
    <row r="78" spans="1:10" ht="20.25" customHeight="1">
      <c r="A78" s="152"/>
      <c r="B78" s="346" t="s">
        <v>1083</v>
      </c>
      <c r="C78" s="196" t="s">
        <v>1087</v>
      </c>
      <c r="D78" s="313" t="s">
        <v>1028</v>
      </c>
      <c r="E78" s="313" t="s">
        <v>1028</v>
      </c>
      <c r="F78" s="313" t="s">
        <v>1028</v>
      </c>
      <c r="G78" s="313" t="s">
        <v>1028</v>
      </c>
      <c r="H78" s="313" t="s">
        <v>1028</v>
      </c>
      <c r="I78" s="314" t="s">
        <v>1028</v>
      </c>
      <c r="J78" s="301"/>
    </row>
    <row r="79" spans="1:10" ht="15" customHeight="1">
      <c r="A79" s="351" t="s">
        <v>1088</v>
      </c>
      <c r="B79" s="298" t="s">
        <v>1089</v>
      </c>
      <c r="C79" s="318" t="s">
        <v>705</v>
      </c>
      <c r="D79" s="313" t="s">
        <v>1028</v>
      </c>
      <c r="E79" s="313" t="s">
        <v>1028</v>
      </c>
      <c r="F79" s="313" t="s">
        <v>1028</v>
      </c>
      <c r="G79" s="313" t="s">
        <v>1028</v>
      </c>
      <c r="H79" s="313" t="s">
        <v>1028</v>
      </c>
      <c r="I79" s="314" t="s">
        <v>1028</v>
      </c>
      <c r="J79" s="301"/>
    </row>
    <row r="80" spans="1:10" ht="13.5" customHeight="1">
      <c r="A80" s="352"/>
      <c r="B80" s="303" t="s">
        <v>1002</v>
      </c>
      <c r="C80" s="353"/>
      <c r="D80" s="354"/>
      <c r="E80" s="355"/>
      <c r="F80" s="355"/>
      <c r="G80" s="355"/>
      <c r="H80" s="355"/>
      <c r="I80" s="356"/>
      <c r="J80" s="301"/>
    </row>
    <row r="81" spans="1:10" ht="13.5" customHeight="1">
      <c r="A81" s="352"/>
      <c r="B81" s="307"/>
      <c r="C81" s="357"/>
      <c r="D81" s="358"/>
      <c r="E81" s="359"/>
      <c r="F81" s="359"/>
      <c r="G81" s="359"/>
      <c r="H81" s="359"/>
      <c r="I81" s="360"/>
      <c r="J81" s="301"/>
    </row>
    <row r="82" spans="1:10" ht="13.5" customHeight="1">
      <c r="A82" s="316"/>
      <c r="B82" s="346"/>
      <c r="C82" s="318"/>
      <c r="D82" s="319"/>
      <c r="E82" s="320"/>
      <c r="F82" s="320"/>
      <c r="G82" s="320"/>
      <c r="H82" s="320"/>
      <c r="I82" s="321"/>
      <c r="J82" s="301"/>
    </row>
    <row r="83" spans="1:10" ht="20.25" customHeight="1">
      <c r="A83" s="322" t="s">
        <v>1090</v>
      </c>
      <c r="B83" s="298" t="s">
        <v>1091</v>
      </c>
      <c r="C83" s="196" t="s">
        <v>631</v>
      </c>
      <c r="D83" s="313" t="s">
        <v>1028</v>
      </c>
      <c r="E83" s="313">
        <v>225515.77</v>
      </c>
      <c r="F83" s="313">
        <v>225515.77</v>
      </c>
      <c r="G83" s="313" t="s">
        <v>1028</v>
      </c>
      <c r="H83" s="313">
        <v>231115.77</v>
      </c>
      <c r="I83" s="314">
        <v>231115.77</v>
      </c>
      <c r="J83" s="301"/>
    </row>
    <row r="84" spans="1:10" ht="13.5" customHeight="1">
      <c r="A84" s="302"/>
      <c r="B84" s="303" t="s">
        <v>1002</v>
      </c>
      <c r="C84" s="191"/>
      <c r="D84" s="361"/>
      <c r="E84" s="305"/>
      <c r="F84" s="305"/>
      <c r="G84" s="305"/>
      <c r="H84" s="305"/>
      <c r="I84" s="306"/>
      <c r="J84" s="301"/>
    </row>
    <row r="85" spans="1:10" ht="15" customHeight="1">
      <c r="A85" s="302"/>
      <c r="B85" s="307" t="s">
        <v>1044</v>
      </c>
      <c r="C85" s="186" t="s">
        <v>633</v>
      </c>
      <c r="D85" s="308" t="s">
        <v>1028</v>
      </c>
      <c r="E85" s="308" t="s">
        <v>1028</v>
      </c>
      <c r="F85" s="308" t="s">
        <v>1028</v>
      </c>
      <c r="G85" s="308" t="s">
        <v>1028</v>
      </c>
      <c r="H85" s="308" t="s">
        <v>1028</v>
      </c>
      <c r="I85" s="309" t="s">
        <v>1028</v>
      </c>
      <c r="J85" s="301"/>
    </row>
    <row r="86" spans="1:10" ht="15" customHeight="1">
      <c r="A86" s="302"/>
      <c r="B86" s="312" t="s">
        <v>1092</v>
      </c>
      <c r="C86" s="196" t="s">
        <v>635</v>
      </c>
      <c r="D86" s="313" t="s">
        <v>1028</v>
      </c>
      <c r="E86" s="313">
        <v>225515.77</v>
      </c>
      <c r="F86" s="313">
        <v>225515.77</v>
      </c>
      <c r="G86" s="313" t="s">
        <v>1028</v>
      </c>
      <c r="H86" s="313">
        <v>231115.77</v>
      </c>
      <c r="I86" s="314">
        <v>231115.77</v>
      </c>
      <c r="J86" s="301"/>
    </row>
    <row r="87" spans="1:10" ht="13.5" customHeight="1" thickBot="1">
      <c r="A87" s="325"/>
      <c r="B87" s="324"/>
      <c r="C87" s="201"/>
      <c r="D87" s="362"/>
      <c r="E87" s="202"/>
      <c r="F87" s="202"/>
      <c r="G87" s="202"/>
      <c r="H87" s="202"/>
      <c r="I87" s="203"/>
      <c r="J87" s="301"/>
    </row>
    <row r="88" spans="1:10" ht="13.5" customHeight="1">
      <c r="A88" s="206"/>
      <c r="B88" s="363"/>
      <c r="C88" s="206"/>
      <c r="D88" s="364"/>
      <c r="E88" s="365"/>
      <c r="F88" s="365"/>
      <c r="G88" s="365"/>
      <c r="H88" s="365" t="s">
        <v>1045</v>
      </c>
      <c r="I88" s="365"/>
      <c r="J88" s="291"/>
    </row>
    <row r="89" spans="1:10" ht="13.5" customHeight="1">
      <c r="A89" s="232"/>
      <c r="B89" s="335"/>
      <c r="C89" s="232"/>
      <c r="D89" s="366"/>
      <c r="E89" s="367"/>
      <c r="F89" s="367"/>
      <c r="G89" s="367"/>
      <c r="H89" s="368"/>
      <c r="I89" s="369"/>
      <c r="J89" s="291"/>
    </row>
    <row r="90" spans="1:10" ht="13.5" customHeight="1">
      <c r="A90" s="210"/>
      <c r="B90" s="370"/>
      <c r="C90" s="210"/>
      <c r="D90" s="371"/>
      <c r="E90" s="213"/>
      <c r="F90" s="213"/>
      <c r="G90" s="213"/>
      <c r="H90" s="371"/>
      <c r="I90" s="213" t="s">
        <v>1093</v>
      </c>
      <c r="J90" s="291"/>
    </row>
    <row r="91" spans="1:10" ht="13.5" customHeight="1" thickBot="1">
      <c r="A91" s="294">
        <v>1</v>
      </c>
      <c r="B91" s="295">
        <v>2</v>
      </c>
      <c r="C91" s="121">
        <v>3</v>
      </c>
      <c r="D91" s="372">
        <v>4</v>
      </c>
      <c r="E91" s="372">
        <v>5</v>
      </c>
      <c r="F91" s="372">
        <v>6</v>
      </c>
      <c r="G91" s="372">
        <v>7</v>
      </c>
      <c r="H91" s="372">
        <v>8</v>
      </c>
      <c r="I91" s="373">
        <v>9</v>
      </c>
      <c r="J91" s="291"/>
    </row>
    <row r="92" spans="1:10" ht="20.25" customHeight="1">
      <c r="A92" s="374" t="s">
        <v>1094</v>
      </c>
      <c r="B92" s="298" t="s">
        <v>1095</v>
      </c>
      <c r="C92" s="375" t="s">
        <v>713</v>
      </c>
      <c r="D92" s="299" t="s">
        <v>1028</v>
      </c>
      <c r="E92" s="299" t="s">
        <v>1028</v>
      </c>
      <c r="F92" s="299" t="s">
        <v>1028</v>
      </c>
      <c r="G92" s="299" t="s">
        <v>1028</v>
      </c>
      <c r="H92" s="299" t="s">
        <v>1028</v>
      </c>
      <c r="I92" s="300" t="s">
        <v>1028</v>
      </c>
      <c r="J92" s="301"/>
    </row>
    <row r="93" spans="1:10" ht="13.5" customHeight="1">
      <c r="A93" s="352"/>
      <c r="B93" s="303" t="s">
        <v>1002</v>
      </c>
      <c r="C93" s="353"/>
      <c r="D93" s="354"/>
      <c r="E93" s="355"/>
      <c r="F93" s="355"/>
      <c r="G93" s="355"/>
      <c r="H93" s="355"/>
      <c r="I93" s="356"/>
      <c r="J93" s="301"/>
    </row>
    <row r="94" spans="1:10" ht="15" customHeight="1">
      <c r="A94" s="352"/>
      <c r="B94" s="307" t="s">
        <v>1096</v>
      </c>
      <c r="C94" s="357" t="s">
        <v>715</v>
      </c>
      <c r="D94" s="308" t="s">
        <v>1028</v>
      </c>
      <c r="E94" s="308" t="s">
        <v>1028</v>
      </c>
      <c r="F94" s="308" t="s">
        <v>1028</v>
      </c>
      <c r="G94" s="308" t="s">
        <v>1028</v>
      </c>
      <c r="H94" s="308" t="s">
        <v>1028</v>
      </c>
      <c r="I94" s="309" t="s">
        <v>1028</v>
      </c>
      <c r="J94" s="301"/>
    </row>
    <row r="95" spans="1:10" ht="13.5" customHeight="1">
      <c r="A95" s="352"/>
      <c r="B95" s="310" t="s">
        <v>1012</v>
      </c>
      <c r="C95" s="353"/>
      <c r="D95" s="354"/>
      <c r="E95" s="355"/>
      <c r="F95" s="355"/>
      <c r="G95" s="355"/>
      <c r="H95" s="355"/>
      <c r="I95" s="356"/>
      <c r="J95" s="301"/>
    </row>
    <row r="96" spans="1:10" ht="15" customHeight="1">
      <c r="A96" s="352"/>
      <c r="B96" s="311" t="s">
        <v>1044</v>
      </c>
      <c r="C96" s="357" t="s">
        <v>717</v>
      </c>
      <c r="D96" s="308" t="s">
        <v>1028</v>
      </c>
      <c r="E96" s="308" t="s">
        <v>1028</v>
      </c>
      <c r="F96" s="308" t="s">
        <v>1028</v>
      </c>
      <c r="G96" s="308" t="s">
        <v>1028</v>
      </c>
      <c r="H96" s="308" t="s">
        <v>1028</v>
      </c>
      <c r="I96" s="309" t="s">
        <v>1028</v>
      </c>
      <c r="J96" s="301"/>
    </row>
    <row r="97" spans="1:10" ht="15" customHeight="1">
      <c r="A97" s="352"/>
      <c r="B97" s="312" t="s">
        <v>1097</v>
      </c>
      <c r="C97" s="318" t="s">
        <v>721</v>
      </c>
      <c r="D97" s="313" t="s">
        <v>1028</v>
      </c>
      <c r="E97" s="313" t="s">
        <v>1028</v>
      </c>
      <c r="F97" s="313" t="s">
        <v>1028</v>
      </c>
      <c r="G97" s="313" t="s">
        <v>1028</v>
      </c>
      <c r="H97" s="313" t="s">
        <v>1028</v>
      </c>
      <c r="I97" s="314" t="s">
        <v>1028</v>
      </c>
      <c r="J97" s="301"/>
    </row>
    <row r="98" spans="1:10" ht="13.5" customHeight="1">
      <c r="A98" s="352"/>
      <c r="B98" s="310" t="s">
        <v>1012</v>
      </c>
      <c r="C98" s="353"/>
      <c r="D98" s="354"/>
      <c r="E98" s="355"/>
      <c r="F98" s="355"/>
      <c r="G98" s="355"/>
      <c r="H98" s="355"/>
      <c r="I98" s="356"/>
      <c r="J98" s="301"/>
    </row>
    <row r="99" spans="1:10" ht="15" customHeight="1">
      <c r="A99" s="352"/>
      <c r="B99" s="311" t="s">
        <v>1044</v>
      </c>
      <c r="C99" s="357" t="s">
        <v>723</v>
      </c>
      <c r="D99" s="308" t="s">
        <v>1028</v>
      </c>
      <c r="E99" s="308" t="s">
        <v>1028</v>
      </c>
      <c r="F99" s="308" t="s">
        <v>1028</v>
      </c>
      <c r="G99" s="308" t="s">
        <v>1028</v>
      </c>
      <c r="H99" s="308" t="s">
        <v>1028</v>
      </c>
      <c r="I99" s="309" t="s">
        <v>1028</v>
      </c>
      <c r="J99" s="301"/>
    </row>
    <row r="100" spans="1:10" ht="13.5" customHeight="1">
      <c r="A100" s="316"/>
      <c r="B100" s="346"/>
      <c r="C100" s="318"/>
      <c r="D100" s="319"/>
      <c r="E100" s="320"/>
      <c r="F100" s="320"/>
      <c r="G100" s="320"/>
      <c r="H100" s="320"/>
      <c r="I100" s="321"/>
      <c r="J100" s="301"/>
    </row>
    <row r="101" spans="1:10" ht="15" customHeight="1">
      <c r="A101" s="351" t="s">
        <v>1098</v>
      </c>
      <c r="B101" s="298" t="s">
        <v>1099</v>
      </c>
      <c r="C101" s="318" t="s">
        <v>638</v>
      </c>
      <c r="D101" s="313" t="s">
        <v>1028</v>
      </c>
      <c r="E101" s="313" t="s">
        <v>1028</v>
      </c>
      <c r="F101" s="313" t="s">
        <v>1028</v>
      </c>
      <c r="G101" s="313" t="s">
        <v>1028</v>
      </c>
      <c r="H101" s="313" t="s">
        <v>1028</v>
      </c>
      <c r="I101" s="314" t="s">
        <v>1028</v>
      </c>
      <c r="J101" s="301"/>
    </row>
    <row r="102" spans="1:10" ht="13.5" customHeight="1">
      <c r="A102" s="352"/>
      <c r="B102" s="303" t="s">
        <v>1002</v>
      </c>
      <c r="C102" s="353"/>
      <c r="D102" s="354"/>
      <c r="E102" s="355"/>
      <c r="F102" s="355"/>
      <c r="G102" s="355"/>
      <c r="H102" s="355"/>
      <c r="I102" s="356"/>
      <c r="J102" s="301"/>
    </row>
    <row r="103" spans="1:10" ht="13.5" customHeight="1">
      <c r="A103" s="352"/>
      <c r="B103" s="307"/>
      <c r="C103" s="357"/>
      <c r="D103" s="358"/>
      <c r="E103" s="359"/>
      <c r="F103" s="359"/>
      <c r="G103" s="359"/>
      <c r="H103" s="359"/>
      <c r="I103" s="360"/>
      <c r="J103" s="301"/>
    </row>
    <row r="104" spans="1:10" ht="13.5" customHeight="1">
      <c r="A104" s="316"/>
      <c r="B104" s="317"/>
      <c r="C104" s="318"/>
      <c r="D104" s="319"/>
      <c r="E104" s="320"/>
      <c r="F104" s="320"/>
      <c r="G104" s="320"/>
      <c r="H104" s="320"/>
      <c r="I104" s="321"/>
      <c r="J104" s="301"/>
    </row>
    <row r="105" spans="1:10" ht="20.25" customHeight="1">
      <c r="A105" s="322" t="s">
        <v>1100</v>
      </c>
      <c r="B105" s="298" t="s">
        <v>1101</v>
      </c>
      <c r="C105" s="196" t="s">
        <v>732</v>
      </c>
      <c r="D105" s="313" t="s">
        <v>1028</v>
      </c>
      <c r="E105" s="313" t="s">
        <v>1028</v>
      </c>
      <c r="F105" s="313" t="s">
        <v>1028</v>
      </c>
      <c r="G105" s="313" t="s">
        <v>1028</v>
      </c>
      <c r="H105" s="313" t="s">
        <v>1028</v>
      </c>
      <c r="I105" s="314" t="s">
        <v>1028</v>
      </c>
      <c r="J105" s="301"/>
    </row>
    <row r="106" spans="1:10" ht="13.5" customHeight="1">
      <c r="A106" s="302"/>
      <c r="B106" s="303" t="s">
        <v>1002</v>
      </c>
      <c r="C106" s="353"/>
      <c r="D106" s="354"/>
      <c r="E106" s="355"/>
      <c r="F106" s="355"/>
      <c r="G106" s="355"/>
      <c r="H106" s="355"/>
      <c r="I106" s="356"/>
      <c r="J106" s="301"/>
    </row>
    <row r="107" spans="1:10" ht="15" customHeight="1">
      <c r="A107" s="302"/>
      <c r="B107" s="307" t="s">
        <v>1096</v>
      </c>
      <c r="C107" s="357" t="s">
        <v>733</v>
      </c>
      <c r="D107" s="308" t="s">
        <v>1028</v>
      </c>
      <c r="E107" s="308" t="s">
        <v>1028</v>
      </c>
      <c r="F107" s="308" t="s">
        <v>1028</v>
      </c>
      <c r="G107" s="308" t="s">
        <v>1028</v>
      </c>
      <c r="H107" s="308" t="s">
        <v>1028</v>
      </c>
      <c r="I107" s="309" t="s">
        <v>1028</v>
      </c>
      <c r="J107" s="301"/>
    </row>
    <row r="108" spans="1:10" ht="13.5" customHeight="1">
      <c r="A108" s="302"/>
      <c r="B108" s="310" t="s">
        <v>1012</v>
      </c>
      <c r="C108" s="353"/>
      <c r="D108" s="354"/>
      <c r="E108" s="355"/>
      <c r="F108" s="355"/>
      <c r="G108" s="355"/>
      <c r="H108" s="355"/>
      <c r="I108" s="356"/>
      <c r="J108" s="301"/>
    </row>
    <row r="109" spans="1:10" ht="15" customHeight="1">
      <c r="A109" s="302"/>
      <c r="B109" s="311" t="s">
        <v>1102</v>
      </c>
      <c r="C109" s="357" t="s">
        <v>734</v>
      </c>
      <c r="D109" s="308" t="s">
        <v>1028</v>
      </c>
      <c r="E109" s="308" t="s">
        <v>1028</v>
      </c>
      <c r="F109" s="308" t="s">
        <v>1028</v>
      </c>
      <c r="G109" s="308" t="s">
        <v>1028</v>
      </c>
      <c r="H109" s="308" t="s">
        <v>1028</v>
      </c>
      <c r="I109" s="309" t="s">
        <v>1028</v>
      </c>
      <c r="J109" s="301"/>
    </row>
    <row r="110" spans="1:10" ht="15" customHeight="1">
      <c r="A110" s="302"/>
      <c r="B110" s="376" t="s">
        <v>1044</v>
      </c>
      <c r="C110" s="318" t="s">
        <v>754</v>
      </c>
      <c r="D110" s="313" t="s">
        <v>1028</v>
      </c>
      <c r="E110" s="313" t="s">
        <v>1028</v>
      </c>
      <c r="F110" s="313" t="s">
        <v>1028</v>
      </c>
      <c r="G110" s="313" t="s">
        <v>1028</v>
      </c>
      <c r="H110" s="313" t="s">
        <v>1028</v>
      </c>
      <c r="I110" s="314" t="s">
        <v>1028</v>
      </c>
      <c r="J110" s="301"/>
    </row>
    <row r="111" spans="1:10" ht="15" customHeight="1">
      <c r="A111" s="302"/>
      <c r="B111" s="312" t="s">
        <v>1103</v>
      </c>
      <c r="C111" s="318" t="s">
        <v>1104</v>
      </c>
      <c r="D111" s="313" t="s">
        <v>1028</v>
      </c>
      <c r="E111" s="313" t="s">
        <v>1028</v>
      </c>
      <c r="F111" s="313" t="s">
        <v>1028</v>
      </c>
      <c r="G111" s="313" t="s">
        <v>1028</v>
      </c>
      <c r="H111" s="313" t="s">
        <v>1028</v>
      </c>
      <c r="I111" s="314" t="s">
        <v>1028</v>
      </c>
      <c r="J111" s="301"/>
    </row>
    <row r="112" spans="1:10" ht="13.5" customHeight="1">
      <c r="A112" s="302"/>
      <c r="B112" s="310" t="s">
        <v>1012</v>
      </c>
      <c r="C112" s="353"/>
      <c r="D112" s="354"/>
      <c r="E112" s="355"/>
      <c r="F112" s="355"/>
      <c r="G112" s="355"/>
      <c r="H112" s="355"/>
      <c r="I112" s="356"/>
      <c r="J112" s="301"/>
    </row>
    <row r="113" spans="1:10" ht="15" customHeight="1">
      <c r="A113" s="302"/>
      <c r="B113" s="311" t="s">
        <v>1044</v>
      </c>
      <c r="C113" s="357" t="s">
        <v>1105</v>
      </c>
      <c r="D113" s="308" t="s">
        <v>1028</v>
      </c>
      <c r="E113" s="308" t="s">
        <v>1028</v>
      </c>
      <c r="F113" s="308" t="s">
        <v>1028</v>
      </c>
      <c r="G113" s="308" t="s">
        <v>1028</v>
      </c>
      <c r="H113" s="308" t="s">
        <v>1028</v>
      </c>
      <c r="I113" s="309" t="s">
        <v>1028</v>
      </c>
      <c r="J113" s="301"/>
    </row>
    <row r="114" spans="1:10" ht="15" customHeight="1">
      <c r="A114" s="302"/>
      <c r="B114" s="312" t="s">
        <v>1097</v>
      </c>
      <c r="C114" s="318" t="s">
        <v>1106</v>
      </c>
      <c r="D114" s="313" t="s">
        <v>1028</v>
      </c>
      <c r="E114" s="313" t="s">
        <v>1028</v>
      </c>
      <c r="F114" s="313" t="s">
        <v>1028</v>
      </c>
      <c r="G114" s="313" t="s">
        <v>1028</v>
      </c>
      <c r="H114" s="313" t="s">
        <v>1028</v>
      </c>
      <c r="I114" s="314" t="s">
        <v>1028</v>
      </c>
      <c r="J114" s="301"/>
    </row>
    <row r="115" spans="1:10" ht="13.5" customHeight="1">
      <c r="A115" s="302"/>
      <c r="B115" s="310" t="s">
        <v>1012</v>
      </c>
      <c r="C115" s="353"/>
      <c r="D115" s="354"/>
      <c r="E115" s="355"/>
      <c r="F115" s="355"/>
      <c r="G115" s="355"/>
      <c r="H115" s="355"/>
      <c r="I115" s="356"/>
      <c r="J115" s="301"/>
    </row>
    <row r="116" spans="1:10" ht="15" customHeight="1">
      <c r="A116" s="302"/>
      <c r="B116" s="311" t="s">
        <v>1044</v>
      </c>
      <c r="C116" s="357" t="s">
        <v>1107</v>
      </c>
      <c r="D116" s="308" t="s">
        <v>1028</v>
      </c>
      <c r="E116" s="308" t="s">
        <v>1028</v>
      </c>
      <c r="F116" s="308" t="s">
        <v>1028</v>
      </c>
      <c r="G116" s="308" t="s">
        <v>1028</v>
      </c>
      <c r="H116" s="308" t="s">
        <v>1028</v>
      </c>
      <c r="I116" s="309" t="s">
        <v>1028</v>
      </c>
      <c r="J116" s="301"/>
    </row>
    <row r="117" spans="1:10" ht="13.5" customHeight="1">
      <c r="A117" s="152"/>
      <c r="B117" s="324"/>
      <c r="C117" s="196"/>
      <c r="D117" s="315"/>
      <c r="E117" s="197"/>
      <c r="F117" s="197"/>
      <c r="G117" s="197"/>
      <c r="H117" s="197"/>
      <c r="I117" s="198"/>
      <c r="J117" s="301"/>
    </row>
    <row r="118" spans="1:10" ht="20.25" customHeight="1">
      <c r="A118" s="322" t="s">
        <v>1108</v>
      </c>
      <c r="B118" s="298" t="s">
        <v>1109</v>
      </c>
      <c r="C118" s="196" t="s">
        <v>736</v>
      </c>
      <c r="D118" s="313" t="s">
        <v>1028</v>
      </c>
      <c r="E118" s="313" t="s">
        <v>1028</v>
      </c>
      <c r="F118" s="313" t="s">
        <v>1028</v>
      </c>
      <c r="G118" s="313" t="s">
        <v>1028</v>
      </c>
      <c r="H118" s="313" t="s">
        <v>1028</v>
      </c>
      <c r="I118" s="314" t="s">
        <v>1028</v>
      </c>
      <c r="J118" s="301"/>
    </row>
    <row r="119" spans="1:10" ht="13.5" customHeight="1">
      <c r="A119" s="302"/>
      <c r="B119" s="377" t="s">
        <v>1002</v>
      </c>
      <c r="C119" s="353"/>
      <c r="D119" s="354"/>
      <c r="E119" s="355"/>
      <c r="F119" s="355"/>
      <c r="G119" s="355"/>
      <c r="H119" s="355"/>
      <c r="I119" s="356"/>
      <c r="J119" s="301"/>
    </row>
    <row r="120" spans="1:10" ht="15" customHeight="1">
      <c r="A120" s="302"/>
      <c r="B120" s="378" t="s">
        <v>1096</v>
      </c>
      <c r="C120" s="357" t="s">
        <v>1110</v>
      </c>
      <c r="D120" s="308" t="s">
        <v>1028</v>
      </c>
      <c r="E120" s="308" t="s">
        <v>1028</v>
      </c>
      <c r="F120" s="308" t="s">
        <v>1028</v>
      </c>
      <c r="G120" s="308" t="s">
        <v>1028</v>
      </c>
      <c r="H120" s="308" t="s">
        <v>1028</v>
      </c>
      <c r="I120" s="309" t="s">
        <v>1028</v>
      </c>
      <c r="J120" s="301"/>
    </row>
    <row r="121" spans="1:10" ht="13.5" customHeight="1">
      <c r="A121" s="302"/>
      <c r="B121" s="379" t="s">
        <v>1012</v>
      </c>
      <c r="C121" s="353"/>
      <c r="D121" s="354"/>
      <c r="E121" s="355"/>
      <c r="F121" s="355"/>
      <c r="G121" s="355"/>
      <c r="H121" s="355"/>
      <c r="I121" s="356"/>
      <c r="J121" s="301"/>
    </row>
    <row r="122" spans="1:10" ht="15" customHeight="1" thickBot="1">
      <c r="A122" s="325"/>
      <c r="B122" s="311" t="s">
        <v>1102</v>
      </c>
      <c r="C122" s="380" t="s">
        <v>737</v>
      </c>
      <c r="D122" s="327" t="s">
        <v>1028</v>
      </c>
      <c r="E122" s="327" t="s">
        <v>1028</v>
      </c>
      <c r="F122" s="327" t="s">
        <v>1028</v>
      </c>
      <c r="G122" s="327" t="s">
        <v>1028</v>
      </c>
      <c r="H122" s="327" t="s">
        <v>1028</v>
      </c>
      <c r="I122" s="328" t="s">
        <v>1028</v>
      </c>
      <c r="J122" s="301"/>
    </row>
    <row r="123" spans="1:10" ht="13.5" customHeight="1">
      <c r="A123" s="206"/>
      <c r="B123" s="189"/>
      <c r="C123" s="206"/>
      <c r="D123" s="334"/>
      <c r="E123" s="381"/>
      <c r="F123" s="381"/>
      <c r="G123" s="381"/>
      <c r="H123" s="333" t="s">
        <v>1111</v>
      </c>
      <c r="I123" s="381"/>
      <c r="J123" s="291"/>
    </row>
    <row r="124" spans="1:10" ht="13.5" customHeight="1">
      <c r="A124" s="232"/>
      <c r="B124" s="335"/>
      <c r="C124" s="232"/>
      <c r="D124" s="336"/>
      <c r="E124" s="337"/>
      <c r="F124" s="337"/>
      <c r="G124" s="337"/>
      <c r="H124" s="144"/>
      <c r="I124" s="291"/>
      <c r="J124" s="291"/>
    </row>
    <row r="125" spans="1:10" ht="13.5" customHeight="1">
      <c r="A125" s="210"/>
      <c r="B125" s="370"/>
      <c r="C125" s="210"/>
      <c r="D125" s="208"/>
      <c r="E125" s="153"/>
      <c r="F125" s="153"/>
      <c r="G125" s="153"/>
      <c r="H125" s="156" t="s">
        <v>1112</v>
      </c>
      <c r="I125" s="153"/>
      <c r="J125" s="291"/>
    </row>
    <row r="126" spans="1:10" ht="13.5" customHeight="1" thickBot="1">
      <c r="A126" s="382" t="s">
        <v>1113</v>
      </c>
      <c r="B126" s="295">
        <v>2</v>
      </c>
      <c r="C126" s="121">
        <v>3</v>
      </c>
      <c r="D126" s="121">
        <v>4</v>
      </c>
      <c r="E126" s="121">
        <v>5</v>
      </c>
      <c r="F126" s="121">
        <v>6</v>
      </c>
      <c r="G126" s="121">
        <v>7</v>
      </c>
      <c r="H126" s="121">
        <v>8</v>
      </c>
      <c r="I126" s="342">
        <v>9</v>
      </c>
      <c r="J126" s="291"/>
    </row>
    <row r="127" spans="1:10" ht="15" customHeight="1">
      <c r="A127" s="297" t="s">
        <v>1108</v>
      </c>
      <c r="B127" s="383" t="s">
        <v>1044</v>
      </c>
      <c r="C127" s="375" t="s">
        <v>740</v>
      </c>
      <c r="D127" s="299" t="s">
        <v>1028</v>
      </c>
      <c r="E127" s="299" t="s">
        <v>1028</v>
      </c>
      <c r="F127" s="299" t="s">
        <v>1028</v>
      </c>
      <c r="G127" s="299" t="s">
        <v>1028</v>
      </c>
      <c r="H127" s="299" t="s">
        <v>1028</v>
      </c>
      <c r="I127" s="300" t="s">
        <v>1028</v>
      </c>
      <c r="J127" s="301"/>
    </row>
    <row r="128" spans="1:10" ht="15" customHeight="1">
      <c r="A128" s="384"/>
      <c r="B128" s="312" t="s">
        <v>1103</v>
      </c>
      <c r="C128" s="318" t="s">
        <v>1114</v>
      </c>
      <c r="D128" s="313" t="s">
        <v>1028</v>
      </c>
      <c r="E128" s="313" t="s">
        <v>1028</v>
      </c>
      <c r="F128" s="313" t="s">
        <v>1028</v>
      </c>
      <c r="G128" s="313" t="s">
        <v>1028</v>
      </c>
      <c r="H128" s="313" t="s">
        <v>1028</v>
      </c>
      <c r="I128" s="314" t="s">
        <v>1028</v>
      </c>
      <c r="J128" s="301"/>
    </row>
    <row r="129" spans="1:10" ht="13.5" customHeight="1">
      <c r="A129" s="384"/>
      <c r="B129" s="310" t="s">
        <v>1012</v>
      </c>
      <c r="C129" s="353"/>
      <c r="D129" s="354"/>
      <c r="E129" s="355"/>
      <c r="F129" s="355"/>
      <c r="G129" s="355"/>
      <c r="H129" s="355"/>
      <c r="I129" s="356"/>
      <c r="J129" s="301"/>
    </row>
    <row r="130" spans="1:10" ht="15" customHeight="1">
      <c r="A130" s="384"/>
      <c r="B130" s="311" t="s">
        <v>1044</v>
      </c>
      <c r="C130" s="357" t="s">
        <v>1115</v>
      </c>
      <c r="D130" s="308" t="s">
        <v>1028</v>
      </c>
      <c r="E130" s="308" t="s">
        <v>1028</v>
      </c>
      <c r="F130" s="308" t="s">
        <v>1028</v>
      </c>
      <c r="G130" s="308" t="s">
        <v>1028</v>
      </c>
      <c r="H130" s="308" t="s">
        <v>1028</v>
      </c>
      <c r="I130" s="309" t="s">
        <v>1028</v>
      </c>
      <c r="J130" s="301"/>
    </row>
    <row r="131" spans="1:10" ht="15" customHeight="1">
      <c r="A131" s="384"/>
      <c r="B131" s="312" t="s">
        <v>1097</v>
      </c>
      <c r="C131" s="318" t="s">
        <v>1116</v>
      </c>
      <c r="D131" s="313" t="s">
        <v>1028</v>
      </c>
      <c r="E131" s="313" t="s">
        <v>1028</v>
      </c>
      <c r="F131" s="313" t="s">
        <v>1028</v>
      </c>
      <c r="G131" s="313" t="s">
        <v>1028</v>
      </c>
      <c r="H131" s="313" t="s">
        <v>1028</v>
      </c>
      <c r="I131" s="314" t="s">
        <v>1028</v>
      </c>
      <c r="J131" s="301"/>
    </row>
    <row r="132" spans="1:10" ht="13.5" customHeight="1">
      <c r="A132" s="384"/>
      <c r="B132" s="310" t="s">
        <v>1012</v>
      </c>
      <c r="C132" s="353"/>
      <c r="D132" s="354"/>
      <c r="E132" s="355"/>
      <c r="F132" s="355"/>
      <c r="G132" s="355"/>
      <c r="H132" s="355"/>
      <c r="I132" s="356"/>
      <c r="J132" s="301"/>
    </row>
    <row r="133" spans="1:10" ht="15" customHeight="1">
      <c r="A133" s="384"/>
      <c r="B133" s="385" t="s">
        <v>1044</v>
      </c>
      <c r="C133" s="357" t="s">
        <v>1117</v>
      </c>
      <c r="D133" s="308" t="s">
        <v>1028</v>
      </c>
      <c r="E133" s="308" t="s">
        <v>1028</v>
      </c>
      <c r="F133" s="308" t="s">
        <v>1028</v>
      </c>
      <c r="G133" s="308" t="s">
        <v>1028</v>
      </c>
      <c r="H133" s="308" t="s">
        <v>1028</v>
      </c>
      <c r="I133" s="309" t="s">
        <v>1028</v>
      </c>
      <c r="J133" s="301"/>
    </row>
    <row r="134" spans="1:10" ht="13.5" customHeight="1">
      <c r="A134" s="386"/>
      <c r="B134" s="344"/>
      <c r="C134" s="196"/>
      <c r="D134" s="315"/>
      <c r="E134" s="197"/>
      <c r="F134" s="197"/>
      <c r="G134" s="197"/>
      <c r="H134" s="197"/>
      <c r="I134" s="198"/>
      <c r="J134" s="301"/>
    </row>
    <row r="135" spans="1:10" ht="15" customHeight="1">
      <c r="A135" s="322" t="s">
        <v>1118</v>
      </c>
      <c r="B135" s="298" t="s">
        <v>1119</v>
      </c>
      <c r="C135" s="196" t="s">
        <v>639</v>
      </c>
      <c r="D135" s="313" t="s">
        <v>1028</v>
      </c>
      <c r="E135" s="313" t="s">
        <v>1028</v>
      </c>
      <c r="F135" s="313" t="s">
        <v>1028</v>
      </c>
      <c r="G135" s="313" t="s">
        <v>1028</v>
      </c>
      <c r="H135" s="313" t="s">
        <v>1028</v>
      </c>
      <c r="I135" s="314" t="s">
        <v>1028</v>
      </c>
      <c r="J135" s="301"/>
    </row>
    <row r="136" spans="1:10" ht="13.5" customHeight="1">
      <c r="A136" s="384"/>
      <c r="B136" s="377" t="s">
        <v>1002</v>
      </c>
      <c r="C136" s="353"/>
      <c r="D136" s="354"/>
      <c r="E136" s="355"/>
      <c r="F136" s="355"/>
      <c r="G136" s="355"/>
      <c r="H136" s="355"/>
      <c r="I136" s="356"/>
      <c r="J136" s="301"/>
    </row>
    <row r="137" spans="1:10" ht="15" customHeight="1">
      <c r="A137" s="384"/>
      <c r="B137" s="307" t="s">
        <v>1096</v>
      </c>
      <c r="C137" s="357" t="s">
        <v>742</v>
      </c>
      <c r="D137" s="308" t="s">
        <v>1028</v>
      </c>
      <c r="E137" s="308" t="s">
        <v>1028</v>
      </c>
      <c r="F137" s="308" t="s">
        <v>1028</v>
      </c>
      <c r="G137" s="308" t="s">
        <v>1028</v>
      </c>
      <c r="H137" s="308" t="s">
        <v>1028</v>
      </c>
      <c r="I137" s="309" t="s">
        <v>1028</v>
      </c>
      <c r="J137" s="301"/>
    </row>
    <row r="138" spans="1:10" ht="13.5" customHeight="1">
      <c r="A138" s="384"/>
      <c r="B138" s="387" t="s">
        <v>1012</v>
      </c>
      <c r="C138" s="353"/>
      <c r="D138" s="354"/>
      <c r="E138" s="355"/>
      <c r="F138" s="355"/>
      <c r="G138" s="355"/>
      <c r="H138" s="355"/>
      <c r="I138" s="356"/>
      <c r="J138" s="301"/>
    </row>
    <row r="139" spans="1:10" ht="15" customHeight="1">
      <c r="A139" s="384"/>
      <c r="B139" s="311" t="s">
        <v>1102</v>
      </c>
      <c r="C139" s="357" t="s">
        <v>744</v>
      </c>
      <c r="D139" s="308" t="s">
        <v>1028</v>
      </c>
      <c r="E139" s="308" t="s">
        <v>1028</v>
      </c>
      <c r="F139" s="308" t="s">
        <v>1028</v>
      </c>
      <c r="G139" s="308" t="s">
        <v>1028</v>
      </c>
      <c r="H139" s="308" t="s">
        <v>1028</v>
      </c>
      <c r="I139" s="309" t="s">
        <v>1028</v>
      </c>
      <c r="J139" s="301"/>
    </row>
    <row r="140" spans="1:10" ht="15" customHeight="1">
      <c r="A140" s="384"/>
      <c r="B140" s="376" t="s">
        <v>1044</v>
      </c>
      <c r="C140" s="318" t="s">
        <v>755</v>
      </c>
      <c r="D140" s="313" t="s">
        <v>1028</v>
      </c>
      <c r="E140" s="313" t="s">
        <v>1028</v>
      </c>
      <c r="F140" s="313" t="s">
        <v>1028</v>
      </c>
      <c r="G140" s="313" t="s">
        <v>1028</v>
      </c>
      <c r="H140" s="313" t="s">
        <v>1028</v>
      </c>
      <c r="I140" s="314" t="s">
        <v>1028</v>
      </c>
      <c r="J140" s="301"/>
    </row>
    <row r="141" spans="1:10" ht="15" customHeight="1">
      <c r="A141" s="384"/>
      <c r="B141" s="312" t="s">
        <v>1103</v>
      </c>
      <c r="C141" s="318" t="s">
        <v>267</v>
      </c>
      <c r="D141" s="313" t="s">
        <v>1028</v>
      </c>
      <c r="E141" s="313" t="s">
        <v>1028</v>
      </c>
      <c r="F141" s="313" t="s">
        <v>1028</v>
      </c>
      <c r="G141" s="313" t="s">
        <v>1028</v>
      </c>
      <c r="H141" s="313" t="s">
        <v>1028</v>
      </c>
      <c r="I141" s="314" t="s">
        <v>1028</v>
      </c>
      <c r="J141" s="301"/>
    </row>
    <row r="142" spans="1:10" ht="13.5" customHeight="1">
      <c r="A142" s="384"/>
      <c r="B142" s="387" t="s">
        <v>1012</v>
      </c>
      <c r="C142" s="353"/>
      <c r="D142" s="354"/>
      <c r="E142" s="355"/>
      <c r="F142" s="355"/>
      <c r="G142" s="355"/>
      <c r="H142" s="355"/>
      <c r="I142" s="356"/>
      <c r="J142" s="301"/>
    </row>
    <row r="143" spans="1:10" ht="15" customHeight="1">
      <c r="A143" s="384"/>
      <c r="B143" s="311" t="s">
        <v>1044</v>
      </c>
      <c r="C143" s="357" t="s">
        <v>1120</v>
      </c>
      <c r="D143" s="308" t="s">
        <v>1028</v>
      </c>
      <c r="E143" s="308" t="s">
        <v>1028</v>
      </c>
      <c r="F143" s="308" t="s">
        <v>1028</v>
      </c>
      <c r="G143" s="308" t="s">
        <v>1028</v>
      </c>
      <c r="H143" s="308" t="s">
        <v>1028</v>
      </c>
      <c r="I143" s="309" t="s">
        <v>1028</v>
      </c>
      <c r="J143" s="301"/>
    </row>
    <row r="144" spans="1:10" ht="15" customHeight="1">
      <c r="A144" s="384"/>
      <c r="B144" s="312" t="s">
        <v>1097</v>
      </c>
      <c r="C144" s="318" t="s">
        <v>1121</v>
      </c>
      <c r="D144" s="313" t="s">
        <v>1028</v>
      </c>
      <c r="E144" s="313" t="s">
        <v>1028</v>
      </c>
      <c r="F144" s="313" t="s">
        <v>1028</v>
      </c>
      <c r="G144" s="313" t="s">
        <v>1028</v>
      </c>
      <c r="H144" s="313" t="s">
        <v>1028</v>
      </c>
      <c r="I144" s="314" t="s">
        <v>1028</v>
      </c>
      <c r="J144" s="301"/>
    </row>
    <row r="145" spans="1:10" ht="13.5" customHeight="1">
      <c r="A145" s="384"/>
      <c r="B145" s="387" t="s">
        <v>1012</v>
      </c>
      <c r="C145" s="353"/>
      <c r="D145" s="354"/>
      <c r="E145" s="355"/>
      <c r="F145" s="355"/>
      <c r="G145" s="355"/>
      <c r="H145" s="355"/>
      <c r="I145" s="356"/>
      <c r="J145" s="301"/>
    </row>
    <row r="146" spans="1:10" ht="15" customHeight="1">
      <c r="A146" s="384"/>
      <c r="B146" s="311" t="s">
        <v>1044</v>
      </c>
      <c r="C146" s="357" t="s">
        <v>1122</v>
      </c>
      <c r="D146" s="308" t="s">
        <v>1028</v>
      </c>
      <c r="E146" s="308" t="s">
        <v>1028</v>
      </c>
      <c r="F146" s="308" t="s">
        <v>1028</v>
      </c>
      <c r="G146" s="308" t="s">
        <v>1028</v>
      </c>
      <c r="H146" s="308" t="s">
        <v>1028</v>
      </c>
      <c r="I146" s="309" t="s">
        <v>1028</v>
      </c>
      <c r="J146" s="301"/>
    </row>
    <row r="147" spans="1:10" ht="13.5" customHeight="1" thickBot="1">
      <c r="A147" s="388"/>
      <c r="B147" s="389"/>
      <c r="C147" s="201"/>
      <c r="D147" s="362"/>
      <c r="E147" s="202"/>
      <c r="F147" s="202"/>
      <c r="G147" s="202"/>
      <c r="H147" s="202"/>
      <c r="I147" s="203"/>
      <c r="J147" s="301"/>
    </row>
    <row r="148" spans="1:10" ht="13.5" customHeight="1">
      <c r="A148" s="390"/>
      <c r="B148" s="391"/>
      <c r="C148" s="206"/>
      <c r="D148" s="392"/>
      <c r="E148" s="393"/>
      <c r="F148" s="393"/>
      <c r="G148" s="393"/>
      <c r="H148" s="393"/>
      <c r="I148" s="393"/>
      <c r="J148" s="291"/>
    </row>
    <row r="149" spans="1:10" ht="12.75" customHeight="1">
      <c r="A149" s="144" t="s">
        <v>162</v>
      </c>
      <c r="B149" s="394" t="s">
        <v>1123</v>
      </c>
      <c r="C149" s="521" t="s">
        <v>301</v>
      </c>
      <c r="D149" s="521"/>
      <c r="E149" s="522" t="s">
        <v>1124</v>
      </c>
      <c r="F149" s="522"/>
      <c r="G149" s="153"/>
      <c r="H149" s="521" t="s">
        <v>302</v>
      </c>
      <c r="I149" s="521"/>
      <c r="J149" s="521"/>
    </row>
    <row r="150" spans="1:10" ht="12.75" customHeight="1">
      <c r="A150" s="144" t="s">
        <v>1125</v>
      </c>
      <c r="B150" s="394" t="s">
        <v>1126</v>
      </c>
      <c r="C150" s="518" t="s">
        <v>304</v>
      </c>
      <c r="D150" s="518"/>
      <c r="E150" s="125"/>
      <c r="F150" s="144"/>
      <c r="G150" s="395" t="s">
        <v>303</v>
      </c>
      <c r="H150" s="518" t="s">
        <v>304</v>
      </c>
      <c r="I150" s="518"/>
      <c r="J150" s="518"/>
    </row>
    <row r="151" spans="1:10" ht="12.75" customHeight="1">
      <c r="A151" s="144"/>
      <c r="B151" s="144"/>
      <c r="C151" s="144"/>
      <c r="D151" s="144"/>
      <c r="E151" s="144"/>
      <c r="F151" s="125"/>
      <c r="G151" s="125"/>
      <c r="H151" s="125"/>
      <c r="I151" s="125"/>
      <c r="J151" s="125"/>
    </row>
    <row r="152" spans="1:10" ht="12.75" customHeight="1">
      <c r="A152" s="144"/>
      <c r="B152" s="144"/>
      <c r="C152" s="396" t="s">
        <v>1127</v>
      </c>
      <c r="D152" s="125"/>
      <c r="E152" s="125"/>
      <c r="F152" s="523"/>
      <c r="G152" s="523"/>
      <c r="H152" s="523"/>
      <c r="I152" s="523"/>
      <c r="J152" s="125"/>
    </row>
    <row r="153" spans="1:10" ht="12.75" customHeight="1">
      <c r="A153" s="144"/>
      <c r="B153" s="144"/>
      <c r="C153" s="125"/>
      <c r="D153" s="125"/>
      <c r="E153" s="125"/>
      <c r="F153" s="518" t="s">
        <v>1128</v>
      </c>
      <c r="G153" s="518"/>
      <c r="H153" s="518"/>
      <c r="I153" s="518"/>
      <c r="J153" s="125"/>
    </row>
    <row r="154" spans="1:10" ht="12.75" customHeight="1">
      <c r="A154" s="144"/>
      <c r="B154" s="144"/>
      <c r="C154" s="125" t="s">
        <v>1129</v>
      </c>
      <c r="D154" s="125"/>
      <c r="E154" s="519"/>
      <c r="F154" s="519"/>
      <c r="G154" s="125"/>
      <c r="H154" s="520"/>
      <c r="I154" s="520"/>
      <c r="J154" s="520"/>
    </row>
    <row r="155" spans="1:10" ht="12.75" customHeight="1">
      <c r="A155" s="144"/>
      <c r="B155" s="144"/>
      <c r="C155" s="125" t="s">
        <v>1130</v>
      </c>
      <c r="D155" s="125"/>
      <c r="E155" s="518" t="s">
        <v>1131</v>
      </c>
      <c r="F155" s="518"/>
      <c r="G155" s="125"/>
      <c r="H155" s="397" t="s">
        <v>1126</v>
      </c>
      <c r="I155" s="518" t="s">
        <v>304</v>
      </c>
      <c r="J155" s="518"/>
    </row>
    <row r="156" spans="1:10" ht="12.75" customHeight="1">
      <c r="A156" s="144" t="s">
        <v>1132</v>
      </c>
      <c r="B156" s="124" t="s">
        <v>1123</v>
      </c>
      <c r="C156" s="153"/>
      <c r="D156" s="153"/>
      <c r="E156" s="125"/>
      <c r="F156" s="521"/>
      <c r="G156" s="521"/>
      <c r="H156" s="125"/>
      <c r="I156" s="521"/>
      <c r="J156" s="521"/>
    </row>
    <row r="157" spans="1:10" ht="12.75" customHeight="1">
      <c r="A157" s="135" t="s">
        <v>1133</v>
      </c>
      <c r="B157" s="124" t="s">
        <v>308</v>
      </c>
      <c r="C157" s="516" t="s">
        <v>1134</v>
      </c>
      <c r="D157" s="516"/>
      <c r="E157" s="125"/>
      <c r="F157" s="517" t="s">
        <v>1135</v>
      </c>
      <c r="G157" s="517"/>
      <c r="H157" s="125"/>
      <c r="I157" s="398" t="s">
        <v>1136</v>
      </c>
      <c r="J157" s="149"/>
    </row>
    <row r="158" spans="1:10" ht="12.75" customHeight="1">
      <c r="A158" s="144"/>
      <c r="B158" s="144"/>
      <c r="C158" s="144"/>
      <c r="D158" s="130"/>
      <c r="E158" s="130"/>
      <c r="F158" s="144"/>
      <c r="G158" s="144"/>
      <c r="H158" s="125"/>
      <c r="I158" s="125"/>
      <c r="J158" s="125"/>
    </row>
    <row r="159" spans="1:10" ht="12.75" customHeight="1">
      <c r="A159" s="144" t="s">
        <v>1137</v>
      </c>
      <c r="B159" s="144"/>
      <c r="C159" s="144"/>
      <c r="D159" s="144"/>
      <c r="E159" s="399"/>
      <c r="F159" s="399"/>
      <c r="G159" s="399"/>
      <c r="H159" s="124"/>
      <c r="I159" s="124"/>
      <c r="J159" s="125"/>
    </row>
    <row r="160" spans="1:10" ht="12.75" customHeight="1">
      <c r="A160" s="144"/>
      <c r="B160" s="144"/>
      <c r="C160" s="144"/>
      <c r="D160" s="125"/>
      <c r="E160" s="125"/>
      <c r="F160" s="125"/>
      <c r="G160" s="125"/>
      <c r="H160" s="125"/>
      <c r="I160" s="125"/>
      <c r="J160" s="125"/>
    </row>
    <row r="161" spans="1:10" ht="15" customHeight="1">
      <c r="A161" s="400"/>
      <c r="B161" s="401"/>
      <c r="C161" s="402"/>
      <c r="D161" s="402"/>
      <c r="E161" s="402"/>
      <c r="F161" s="402"/>
      <c r="G161" s="402"/>
      <c r="H161" s="402"/>
      <c r="I161" s="402"/>
      <c r="J161" s="119"/>
    </row>
  </sheetData>
  <sheetProtection/>
  <mergeCells count="25">
    <mergeCell ref="A2:I2"/>
    <mergeCell ref="A3:I3"/>
    <mergeCell ref="D6:F6"/>
    <mergeCell ref="G6:I6"/>
    <mergeCell ref="D7:D9"/>
    <mergeCell ref="E7:E9"/>
    <mergeCell ref="F7:F9"/>
    <mergeCell ref="G7:G9"/>
    <mergeCell ref="H7:H9"/>
    <mergeCell ref="I7:I9"/>
    <mergeCell ref="C149:D149"/>
    <mergeCell ref="E149:F149"/>
    <mergeCell ref="H149:J149"/>
    <mergeCell ref="C150:D150"/>
    <mergeCell ref="H150:J150"/>
    <mergeCell ref="F152:I152"/>
    <mergeCell ref="C157:D157"/>
    <mergeCell ref="F157:G157"/>
    <mergeCell ref="F153:I153"/>
    <mergeCell ref="E154:F154"/>
    <mergeCell ref="H154:J154"/>
    <mergeCell ref="E155:F155"/>
    <mergeCell ref="I155:J155"/>
    <mergeCell ref="F156:G156"/>
    <mergeCell ref="I156:J156"/>
  </mergeCells>
  <printOptions/>
  <pageMargins left="0.5905511811023623" right="0.11811023622047245" top="0.5905511811023623" bottom="0.3937007874015748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F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193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181</v>
      </c>
      <c r="H6" s="635">
        <v>0.432</v>
      </c>
      <c r="I6" s="632" t="s">
        <v>199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ROUND(J10*1599.7/160,2)</f>
        <v>20.1</v>
      </c>
      <c r="L10" s="72">
        <v>2.33</v>
      </c>
      <c r="M10" s="68">
        <f>ROUND(L10*1599.7/160,2)</f>
        <v>23.3</v>
      </c>
      <c r="N10" s="641"/>
      <c r="O10" s="68">
        <f>(J10+L10)/2*1599.7*4</f>
        <v>13885.396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ROUND(J11*1599.7/684,2)</f>
        <v>5.33</v>
      </c>
      <c r="L11" s="72">
        <v>2.28</v>
      </c>
      <c r="M11" s="68">
        <f>ROUND(L11*1599.7/684,2)</f>
        <v>5.33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ROUND(J12*1599.7/120,2)</f>
        <v>18</v>
      </c>
      <c r="L12" s="72">
        <v>1.36</v>
      </c>
      <c r="M12" s="68">
        <f>ROUND(L12*1599.7/120,2)</f>
        <v>18.13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ROUND(J13*1599.7/668,2)</f>
        <v>8.91</v>
      </c>
      <c r="L13" s="72">
        <v>3.87</v>
      </c>
      <c r="M13" s="68">
        <f>ROUND(L13*1599.7/668,2)</f>
        <v>9.27</v>
      </c>
      <c r="N13" s="641"/>
      <c r="O13" s="68">
        <f>(J13+L13)/2*1599.7</f>
        <v>6070.8615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35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8"/>
  <sheetViews>
    <sheetView zoomScale="75" zoomScaleNormal="75" zoomScalePageLayoutView="0" workbookViewId="0" topLeftCell="H7">
      <selection activeCell="O14" sqref="O14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7.1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200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201</v>
      </c>
      <c r="H6" s="635">
        <v>0.424</v>
      </c>
      <c r="I6" s="632" t="s">
        <v>198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ROUND(J10*1572.1/160,2)</f>
        <v>19.75</v>
      </c>
      <c r="L10" s="72">
        <v>2.33</v>
      </c>
      <c r="M10" s="68">
        <f>ROUND(L10*1572.1/160,2)</f>
        <v>22.89</v>
      </c>
      <c r="N10" s="641"/>
      <c r="O10" s="68">
        <f>(J10+L10)/2*1572.1*4</f>
        <v>13645.828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ROUND(J11*1572.1/684,2)</f>
        <v>5.24</v>
      </c>
      <c r="L11" s="72">
        <v>2.28</v>
      </c>
      <c r="M11" s="68">
        <f>ROUND(L11*1572.1/684,2)</f>
        <v>5.24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ROUND(J12*1572.1/120,2)</f>
        <v>17.69</v>
      </c>
      <c r="L12" s="72">
        <v>1.36</v>
      </c>
      <c r="M12" s="68">
        <f>ROUND(L12*1572.1/120,2)</f>
        <v>17.82</v>
      </c>
      <c r="N12" s="641"/>
      <c r="O12" s="24"/>
      <c r="Q12" s="61"/>
      <c r="S12" s="61"/>
    </row>
    <row r="13" spans="2:19" ht="39.7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ROUND(J13*1572.1/638,2)</f>
        <v>9.17</v>
      </c>
      <c r="L13" s="72">
        <v>3.87</v>
      </c>
      <c r="M13" s="68">
        <f>ROUND(L13*1572.1/638,2)</f>
        <v>9.54</v>
      </c>
      <c r="N13" s="641"/>
      <c r="O13" s="68">
        <f>(J13+L13)/2*1572.1</f>
        <v>5966.1195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35">
        <v>0.1</v>
      </c>
      <c r="K17" s="24"/>
      <c r="L17" s="35">
        <v>0.1</v>
      </c>
      <c r="M17" s="24"/>
      <c r="N17" s="641"/>
      <c r="O17" s="24"/>
    </row>
    <row r="18" spans="2:15" ht="25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fitToWidth="1" horizontalDpi="600" verticalDpi="600" orientation="landscape" paperSize="9" scale="74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S38"/>
  <sheetViews>
    <sheetView zoomScale="75" zoomScaleNormal="75" zoomScalePageLayoutView="0" workbookViewId="0" topLeftCell="G7">
      <selection activeCell="L15" sqref="L15"/>
    </sheetView>
  </sheetViews>
  <sheetFormatPr defaultColWidth="9.00390625" defaultRowHeight="15.75"/>
  <cols>
    <col min="1" max="1" width="0.2421875" style="0" customWidth="1"/>
    <col min="2" max="2" width="5.00390625" style="0" customWidth="1"/>
    <col min="3" max="3" width="21.625" style="0" customWidth="1"/>
    <col min="4" max="4" width="14.875" style="0" customWidth="1"/>
    <col min="5" max="5" width="12.875" style="0" customWidth="1"/>
    <col min="6" max="6" width="14.00390625" style="0" customWidth="1"/>
    <col min="7" max="7" width="18.625" style="0" customWidth="1"/>
    <col min="8" max="8" width="7.50390625" style="0" customWidth="1"/>
    <col min="9" max="9" width="21.75390625" style="0" customWidth="1"/>
    <col min="10" max="10" width="16.75390625" style="0" customWidth="1"/>
    <col min="11" max="13" width="16.25390625" style="0" customWidth="1"/>
    <col min="14" max="14" width="17.125" style="0" customWidth="1"/>
    <col min="15" max="15" width="17.75390625" style="0" customWidth="1"/>
  </cols>
  <sheetData>
    <row r="1" ht="15">
      <c r="O1" s="11" t="s">
        <v>850</v>
      </c>
    </row>
    <row r="3" spans="2:15" ht="23.25" customHeight="1">
      <c r="B3" s="628" t="s">
        <v>408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15" ht="182.25" customHeight="1">
      <c r="B4" s="8" t="s">
        <v>549</v>
      </c>
      <c r="C4" s="9" t="s">
        <v>548</v>
      </c>
      <c r="D4" s="9" t="s">
        <v>550</v>
      </c>
      <c r="E4" s="9" t="s">
        <v>551</v>
      </c>
      <c r="F4" s="9" t="s">
        <v>552</v>
      </c>
      <c r="G4" s="9" t="s">
        <v>853</v>
      </c>
      <c r="H4" s="9" t="s">
        <v>854</v>
      </c>
      <c r="I4" s="9" t="s">
        <v>855</v>
      </c>
      <c r="J4" s="9" t="s">
        <v>838</v>
      </c>
      <c r="K4" s="9" t="s">
        <v>840</v>
      </c>
      <c r="L4" s="9" t="s">
        <v>989</v>
      </c>
      <c r="M4" s="9" t="s">
        <v>990</v>
      </c>
      <c r="N4" s="9" t="s">
        <v>839</v>
      </c>
      <c r="O4" s="9" t="s">
        <v>841</v>
      </c>
    </row>
    <row r="5" spans="2:15" ht="13.5" customHeight="1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</row>
    <row r="6" spans="2:15" ht="35.25" customHeight="1">
      <c r="B6" s="32" t="s">
        <v>40</v>
      </c>
      <c r="C6" s="34" t="s">
        <v>494</v>
      </c>
      <c r="D6" s="632" t="s">
        <v>122</v>
      </c>
      <c r="E6" s="632" t="s">
        <v>56</v>
      </c>
      <c r="F6" s="629" t="s">
        <v>508</v>
      </c>
      <c r="G6" s="632" t="s">
        <v>1</v>
      </c>
      <c r="H6" s="635">
        <v>0.499</v>
      </c>
      <c r="I6" s="632" t="s">
        <v>2</v>
      </c>
      <c r="J6" s="35">
        <v>3.5</v>
      </c>
      <c r="K6" s="69"/>
      <c r="L6" s="72">
        <v>3.51</v>
      </c>
      <c r="M6" s="69"/>
      <c r="N6" s="641" t="s">
        <v>513</v>
      </c>
      <c r="O6" s="69"/>
    </row>
    <row r="7" spans="2:15" ht="23.25" customHeight="1">
      <c r="B7" s="32" t="s">
        <v>366</v>
      </c>
      <c r="C7" s="34" t="s">
        <v>348</v>
      </c>
      <c r="D7" s="633"/>
      <c r="E7" s="633"/>
      <c r="F7" s="630"/>
      <c r="G7" s="633"/>
      <c r="H7" s="636"/>
      <c r="I7" s="633"/>
      <c r="J7" s="24">
        <v>0.03</v>
      </c>
      <c r="K7" s="69"/>
      <c r="L7" s="72">
        <v>0.04</v>
      </c>
      <c r="M7" s="69"/>
      <c r="N7" s="641"/>
      <c r="O7" s="69"/>
    </row>
    <row r="8" spans="2:15" ht="43.5" customHeight="1">
      <c r="B8" s="32" t="s">
        <v>368</v>
      </c>
      <c r="C8" s="34" t="s">
        <v>495</v>
      </c>
      <c r="D8" s="633"/>
      <c r="E8" s="633"/>
      <c r="F8" s="630"/>
      <c r="G8" s="633"/>
      <c r="H8" s="636"/>
      <c r="I8" s="633"/>
      <c r="J8" s="24">
        <v>5.49</v>
      </c>
      <c r="K8" s="69"/>
      <c r="L8" s="72">
        <v>5.6</v>
      </c>
      <c r="M8" s="69"/>
      <c r="N8" s="641"/>
      <c r="O8" s="69"/>
    </row>
    <row r="9" spans="2:15" ht="39" customHeight="1">
      <c r="B9" s="32" t="s">
        <v>369</v>
      </c>
      <c r="C9" s="34" t="s">
        <v>496</v>
      </c>
      <c r="D9" s="633"/>
      <c r="E9" s="633"/>
      <c r="F9" s="630"/>
      <c r="G9" s="633"/>
      <c r="H9" s="630" t="s">
        <v>89</v>
      </c>
      <c r="I9" s="633"/>
      <c r="J9" s="24">
        <v>2.15</v>
      </c>
      <c r="K9" s="69"/>
      <c r="L9" s="72">
        <v>2.36</v>
      </c>
      <c r="M9" s="69"/>
      <c r="N9" s="641"/>
      <c r="O9" s="69"/>
    </row>
    <row r="10" spans="2:19" ht="37.5" customHeight="1">
      <c r="B10" s="32" t="s">
        <v>370</v>
      </c>
      <c r="C10" s="34" t="s">
        <v>497</v>
      </c>
      <c r="D10" s="633"/>
      <c r="E10" s="633"/>
      <c r="F10" s="630"/>
      <c r="G10" s="633"/>
      <c r="H10" s="630"/>
      <c r="I10" s="633"/>
      <c r="J10" s="24">
        <v>2.01</v>
      </c>
      <c r="K10" s="68">
        <f>ROUND(J10*2545.5/320,2)</f>
        <v>15.99</v>
      </c>
      <c r="L10" s="72">
        <v>2.33</v>
      </c>
      <c r="M10" s="68">
        <f>ROUND(L10*2545.5/320,2)</f>
        <v>18.53</v>
      </c>
      <c r="N10" s="641"/>
      <c r="O10" s="68">
        <f>(J10+L10)/2*2545.5*2</f>
        <v>11047.47</v>
      </c>
      <c r="Q10" s="61"/>
      <c r="S10" s="61"/>
    </row>
    <row r="11" spans="2:19" ht="45" customHeight="1">
      <c r="B11" s="32" t="s">
        <v>498</v>
      </c>
      <c r="C11" s="34" t="s">
        <v>506</v>
      </c>
      <c r="D11" s="633"/>
      <c r="E11" s="633"/>
      <c r="F11" s="630"/>
      <c r="G11" s="633"/>
      <c r="H11" s="630"/>
      <c r="I11" s="633"/>
      <c r="J11" s="24">
        <v>2.28</v>
      </c>
      <c r="K11" s="68">
        <f>ROUND(J11*2545.5/1000,2)</f>
        <v>5.8</v>
      </c>
      <c r="L11" s="72">
        <v>2.28</v>
      </c>
      <c r="M11" s="68">
        <f>ROUND(L11*2545.5/1000,2)</f>
        <v>5.8</v>
      </c>
      <c r="N11" s="641"/>
      <c r="O11" s="24"/>
      <c r="Q11" s="61"/>
      <c r="S11" s="61"/>
    </row>
    <row r="12" spans="2:19" ht="42.75" customHeight="1">
      <c r="B12" s="32" t="s">
        <v>500</v>
      </c>
      <c r="C12" s="34" t="s">
        <v>499</v>
      </c>
      <c r="D12" s="633"/>
      <c r="E12" s="633"/>
      <c r="F12" s="630"/>
      <c r="G12" s="633"/>
      <c r="H12" s="630"/>
      <c r="I12" s="633"/>
      <c r="J12" s="24">
        <v>1.35</v>
      </c>
      <c r="K12" s="68">
        <f>ROUND(J12*2545.5/240,2)</f>
        <v>14.32</v>
      </c>
      <c r="L12" s="72">
        <v>1.36</v>
      </c>
      <c r="M12" s="68">
        <f>ROUND(L12*2545.5/240,2)</f>
        <v>14.42</v>
      </c>
      <c r="N12" s="641"/>
      <c r="O12" s="24"/>
      <c r="Q12" s="61"/>
      <c r="S12" s="61"/>
    </row>
    <row r="13" spans="2:19" ht="43.5" customHeight="1">
      <c r="B13" s="32" t="s">
        <v>502</v>
      </c>
      <c r="C13" s="34" t="s">
        <v>501</v>
      </c>
      <c r="D13" s="633"/>
      <c r="E13" s="633"/>
      <c r="F13" s="630"/>
      <c r="G13" s="633"/>
      <c r="H13" s="630"/>
      <c r="I13" s="633"/>
      <c r="J13" s="24">
        <v>3.72</v>
      </c>
      <c r="K13" s="68">
        <f>ROUND(J13*2545.5/1252,2)</f>
        <v>7.56</v>
      </c>
      <c r="L13" s="72">
        <v>3.87</v>
      </c>
      <c r="M13" s="68">
        <f>ROUND(L13*2545.5/1252,2)</f>
        <v>7.87</v>
      </c>
      <c r="N13" s="641"/>
      <c r="O13" s="68">
        <f>(J13+L13)/2*2545.5</f>
        <v>9660.1725</v>
      </c>
      <c r="Q13" s="61"/>
      <c r="S13" s="61"/>
    </row>
    <row r="14" spans="2:15" ht="35.25" customHeight="1">
      <c r="B14" s="32" t="s">
        <v>503</v>
      </c>
      <c r="C14" s="34" t="s">
        <v>394</v>
      </c>
      <c r="D14" s="633"/>
      <c r="E14" s="633"/>
      <c r="F14" s="630"/>
      <c r="G14" s="633"/>
      <c r="H14" s="630"/>
      <c r="I14" s="633"/>
      <c r="J14" s="24">
        <v>0.12</v>
      </c>
      <c r="K14" s="69"/>
      <c r="L14" s="72">
        <v>0.12</v>
      </c>
      <c r="M14" s="69"/>
      <c r="N14" s="641"/>
      <c r="O14" s="69"/>
    </row>
    <row r="15" spans="2:15" ht="52.5" customHeight="1">
      <c r="B15" s="32" t="s">
        <v>504</v>
      </c>
      <c r="C15" s="34" t="s">
        <v>392</v>
      </c>
      <c r="D15" s="633"/>
      <c r="E15" s="633"/>
      <c r="F15" s="630"/>
      <c r="G15" s="633"/>
      <c r="H15" s="630"/>
      <c r="I15" s="633"/>
      <c r="J15" s="24">
        <v>2.89</v>
      </c>
      <c r="K15" s="69"/>
      <c r="L15" s="72">
        <v>3</v>
      </c>
      <c r="M15" s="69"/>
      <c r="N15" s="641"/>
      <c r="O15" s="69"/>
    </row>
    <row r="16" spans="2:15" ht="51.75" customHeight="1">
      <c r="B16" s="32" t="s">
        <v>507</v>
      </c>
      <c r="C16" s="34" t="s">
        <v>393</v>
      </c>
      <c r="D16" s="633"/>
      <c r="E16" s="633"/>
      <c r="F16" s="630"/>
      <c r="G16" s="633"/>
      <c r="H16" s="630"/>
      <c r="I16" s="633"/>
      <c r="J16" s="35">
        <v>0.03</v>
      </c>
      <c r="K16" s="69"/>
      <c r="L16" s="72">
        <v>0.03</v>
      </c>
      <c r="M16" s="69"/>
      <c r="N16" s="641"/>
      <c r="O16" s="69"/>
    </row>
    <row r="17" spans="2:15" ht="39.75">
      <c r="B17" s="32" t="s">
        <v>396</v>
      </c>
      <c r="C17" s="34" t="s">
        <v>397</v>
      </c>
      <c r="D17" s="633"/>
      <c r="E17" s="633"/>
      <c r="F17" s="630"/>
      <c r="G17" s="633"/>
      <c r="H17" s="630"/>
      <c r="I17" s="633"/>
      <c r="J17" s="35">
        <v>0.1</v>
      </c>
      <c r="K17" s="24"/>
      <c r="L17" s="35">
        <v>0.1</v>
      </c>
      <c r="M17" s="24"/>
      <c r="N17" s="641"/>
      <c r="O17" s="24"/>
    </row>
    <row r="18" spans="2:15" ht="28.5" customHeight="1">
      <c r="B18" s="114" t="s">
        <v>395</v>
      </c>
      <c r="C18" s="115" t="s">
        <v>505</v>
      </c>
      <c r="D18" s="634"/>
      <c r="E18" s="634"/>
      <c r="F18" s="631"/>
      <c r="G18" s="634"/>
      <c r="H18" s="631"/>
      <c r="I18" s="634"/>
      <c r="J18" s="24">
        <v>2.37</v>
      </c>
      <c r="K18" s="24"/>
      <c r="L18" s="35">
        <v>2.46</v>
      </c>
      <c r="M18" s="24"/>
      <c r="N18" s="641"/>
      <c r="O18" s="24"/>
    </row>
    <row r="19" spans="2:15" s="28" customFormat="1" ht="15">
      <c r="B19" s="57"/>
      <c r="C19" s="3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28" customFormat="1" ht="15">
      <c r="B20" s="57"/>
      <c r="C20" s="3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2:15" s="28" customFormat="1" ht="15">
      <c r="B21" s="57"/>
      <c r="C21" s="3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28" customFormat="1" ht="15">
      <c r="B22" s="57"/>
      <c r="C22" s="3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28" customFormat="1" ht="15">
      <c r="B23" s="57"/>
      <c r="C23" s="3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28" customFormat="1" ht="15">
      <c r="B24" s="57"/>
      <c r="C24" s="3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28" customFormat="1" ht="15">
      <c r="B25" s="57"/>
      <c r="C25" s="3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28" customFormat="1" ht="15">
      <c r="B26" s="57"/>
      <c r="C26" s="3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28" customFormat="1" ht="15">
      <c r="B27" s="57"/>
      <c r="C27" s="3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28" customFormat="1" ht="15">
      <c r="B28" s="57"/>
      <c r="C28" s="3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28" customFormat="1" ht="15">
      <c r="B29" s="57"/>
      <c r="C29" s="3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28" customFormat="1" ht="15">
      <c r="B30" s="57"/>
      <c r="C30" s="3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28" customFormat="1" ht="15">
      <c r="B31" s="57"/>
      <c r="C31" s="3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</sheetData>
  <sheetProtection/>
  <mergeCells count="9">
    <mergeCell ref="B3:O3"/>
    <mergeCell ref="D6:D18"/>
    <mergeCell ref="E6:E18"/>
    <mergeCell ref="N6:N18"/>
    <mergeCell ref="F6:F18"/>
    <mergeCell ref="G6:G18"/>
    <mergeCell ref="I6:I18"/>
    <mergeCell ref="H9:H18"/>
    <mergeCell ref="H6:H8"/>
  </mergeCells>
  <printOptions/>
  <pageMargins left="0.11811023622047245" right="0.1968503937007874" top="0.5511811023622047" bottom="0.15748031496062992" header="0.31496062992125984" footer="0.31496062992125984"/>
  <pageSetup fitToHeight="0" horizontalDpi="600" verticalDpi="600" orientation="landscape" paperSize="9" scale="5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"/>
  <sheetViews>
    <sheetView zoomScalePageLayoutView="0" workbookViewId="0" topLeftCell="A8">
      <selection activeCell="O10" sqref="O10"/>
    </sheetView>
  </sheetViews>
  <sheetFormatPr defaultColWidth="9.00390625" defaultRowHeight="15.75"/>
  <cols>
    <col min="1" max="1" width="3.50390625" style="19" customWidth="1"/>
    <col min="2" max="2" width="4.00390625" style="19" customWidth="1"/>
    <col min="3" max="3" width="13.50390625" style="19" customWidth="1"/>
    <col min="4" max="4" width="13.00390625" style="19" customWidth="1"/>
    <col min="5" max="5" width="10.75390625" style="19" customWidth="1"/>
    <col min="6" max="6" width="13.875" style="19" customWidth="1"/>
    <col min="7" max="7" width="21.875" style="19" customWidth="1"/>
    <col min="8" max="8" width="18.75390625" style="19" customWidth="1"/>
    <col min="9" max="9" width="32.875" style="19" customWidth="1"/>
    <col min="10" max="10" width="14.125" style="19" customWidth="1"/>
    <col min="11" max="16384" width="9.00390625" style="19" customWidth="1"/>
  </cols>
  <sheetData>
    <row r="1" ht="12.75">
      <c r="I1" s="20" t="s">
        <v>851</v>
      </c>
    </row>
    <row r="3" spans="2:10" ht="15.75" customHeight="1">
      <c r="B3" s="642" t="s">
        <v>553</v>
      </c>
      <c r="C3" s="642"/>
      <c r="D3" s="642"/>
      <c r="E3" s="642"/>
      <c r="F3" s="642"/>
      <c r="G3" s="642"/>
      <c r="H3" s="642"/>
      <c r="I3" s="642"/>
      <c r="J3" s="24"/>
    </row>
    <row r="4" spans="2:10" ht="84" customHeight="1">
      <c r="B4" s="23" t="s">
        <v>138</v>
      </c>
      <c r="C4" s="23" t="s">
        <v>604</v>
      </c>
      <c r="D4" s="23" t="s">
        <v>554</v>
      </c>
      <c r="E4" s="23" t="s">
        <v>1168</v>
      </c>
      <c r="F4" s="23" t="s">
        <v>603</v>
      </c>
      <c r="G4" s="23" t="s">
        <v>605</v>
      </c>
      <c r="H4" s="23" t="s">
        <v>829</v>
      </c>
      <c r="I4" s="23" t="s">
        <v>606</v>
      </c>
      <c r="J4" s="23" t="s">
        <v>404</v>
      </c>
    </row>
    <row r="5" spans="2:10" ht="12.75">
      <c r="B5" s="22">
        <v>1</v>
      </c>
      <c r="C5" s="22">
        <v>2</v>
      </c>
      <c r="D5" s="62">
        <v>3</v>
      </c>
      <c r="E5" s="22">
        <v>4</v>
      </c>
      <c r="F5" s="22">
        <v>5</v>
      </c>
      <c r="G5" s="22">
        <v>6</v>
      </c>
      <c r="H5" s="62">
        <v>7</v>
      </c>
      <c r="I5" s="22">
        <v>9</v>
      </c>
      <c r="J5" s="63">
        <v>10</v>
      </c>
    </row>
    <row r="6" spans="2:10" ht="102.75" customHeight="1">
      <c r="B6" s="69">
        <v>1</v>
      </c>
      <c r="C6" s="105" t="s">
        <v>110</v>
      </c>
      <c r="D6" s="106" t="s">
        <v>111</v>
      </c>
      <c r="E6" s="96" t="s">
        <v>1169</v>
      </c>
      <c r="F6" s="64" t="s">
        <v>1173</v>
      </c>
      <c r="G6" s="97" t="s">
        <v>1178</v>
      </c>
      <c r="H6" s="98" t="s">
        <v>1180</v>
      </c>
      <c r="I6" s="99" t="s">
        <v>1182</v>
      </c>
      <c r="J6" s="98" t="s">
        <v>1181</v>
      </c>
    </row>
    <row r="7" spans="2:10" ht="102.75" customHeight="1">
      <c r="B7" s="69"/>
      <c r="C7" s="105" t="s">
        <v>745</v>
      </c>
      <c r="D7" s="107"/>
      <c r="E7" s="96" t="str">
        <f>E6</f>
        <v>366 385,71 куб.м.</v>
      </c>
      <c r="F7" s="64" t="s">
        <v>1174</v>
      </c>
      <c r="G7" s="97" t="s">
        <v>1179</v>
      </c>
      <c r="H7" s="100"/>
      <c r="I7" s="99" t="s">
        <v>1183</v>
      </c>
      <c r="J7" s="100"/>
    </row>
    <row r="8" spans="2:10" ht="174.75" customHeight="1">
      <c r="B8" s="69">
        <v>2</v>
      </c>
      <c r="C8" s="69" t="s">
        <v>524</v>
      </c>
      <c r="D8" s="100" t="s">
        <v>112</v>
      </c>
      <c r="E8" s="101" t="s">
        <v>1172</v>
      </c>
      <c r="F8" s="64" t="s">
        <v>1175</v>
      </c>
      <c r="G8" s="97" t="s">
        <v>1184</v>
      </c>
      <c r="H8" s="100" t="s">
        <v>1185</v>
      </c>
      <c r="I8" s="474" t="s">
        <v>1193</v>
      </c>
      <c r="J8" s="98" t="s">
        <v>1186</v>
      </c>
    </row>
    <row r="9" spans="2:10" ht="78" customHeight="1">
      <c r="B9" s="69">
        <v>3</v>
      </c>
      <c r="C9" s="69" t="s">
        <v>525</v>
      </c>
      <c r="D9" s="69" t="s">
        <v>113</v>
      </c>
      <c r="E9" s="102" t="s">
        <v>1170</v>
      </c>
      <c r="F9" s="64" t="s">
        <v>1176</v>
      </c>
      <c r="G9" s="103" t="s">
        <v>1187</v>
      </c>
      <c r="H9" s="104" t="s">
        <v>1188</v>
      </c>
      <c r="I9" s="76" t="s">
        <v>1189</v>
      </c>
      <c r="J9" s="104" t="s">
        <v>519</v>
      </c>
    </row>
    <row r="10" spans="2:10" ht="93.75" customHeight="1">
      <c r="B10" s="69">
        <v>4</v>
      </c>
      <c r="C10" s="104" t="s">
        <v>114</v>
      </c>
      <c r="D10" s="104" t="s">
        <v>115</v>
      </c>
      <c r="E10" s="102" t="s">
        <v>1171</v>
      </c>
      <c r="F10" s="64" t="s">
        <v>1177</v>
      </c>
      <c r="G10" s="102" t="s">
        <v>1190</v>
      </c>
      <c r="H10" s="104" t="s">
        <v>1191</v>
      </c>
      <c r="I10" s="76" t="s">
        <v>1192</v>
      </c>
      <c r="J10" s="104" t="s">
        <v>602</v>
      </c>
    </row>
    <row r="11" ht="12.75">
      <c r="F11" s="19" t="s">
        <v>520</v>
      </c>
    </row>
  </sheetData>
  <sheetProtection/>
  <mergeCells count="1">
    <mergeCell ref="B3:I3"/>
  </mergeCells>
  <printOptions/>
  <pageMargins left="0.9055118110236221" right="0.5118110236220472" top="0.3937007874015748" bottom="0" header="0.31496062992125984" footer="0.31496062992125984"/>
  <pageSetup fitToHeight="0" fitToWidth="1" horizontalDpi="600" verticalDpi="600" orientation="landscape" paperSize="9" scale="8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F2:O27"/>
  <sheetViews>
    <sheetView zoomScalePageLayoutView="0" workbookViewId="0" topLeftCell="F1">
      <selection activeCell="M28" sqref="M28"/>
    </sheetView>
  </sheetViews>
  <sheetFormatPr defaultColWidth="9.00390625" defaultRowHeight="15.75"/>
  <cols>
    <col min="1" max="1" width="3.50390625" style="19" customWidth="1"/>
    <col min="2" max="2" width="4.00390625" style="19" customWidth="1"/>
    <col min="3" max="3" width="18.875" style="19" customWidth="1"/>
    <col min="4" max="4" width="17.625" style="19" customWidth="1"/>
    <col min="5" max="5" width="14.50390625" style="19" customWidth="1"/>
    <col min="6" max="6" width="12.875" style="19" customWidth="1"/>
    <col min="7" max="7" width="10.75390625" style="19" customWidth="1"/>
    <col min="8" max="8" width="11.375" style="19" customWidth="1"/>
    <col min="9" max="9" width="10.875" style="19" customWidth="1"/>
    <col min="10" max="11" width="10.25390625" style="19" customWidth="1"/>
    <col min="12" max="12" width="9.875" style="19" customWidth="1"/>
    <col min="13" max="13" width="10.75390625" style="19" customWidth="1"/>
    <col min="14" max="14" width="10.25390625" style="19" customWidth="1"/>
    <col min="15" max="16384" width="9.00390625" style="19" customWidth="1"/>
  </cols>
  <sheetData>
    <row r="2" spans="9:14" ht="12.75">
      <c r="I2" s="20"/>
      <c r="K2" s="643" t="s">
        <v>753</v>
      </c>
      <c r="L2" s="643"/>
      <c r="M2" s="643"/>
      <c r="N2" s="643"/>
    </row>
    <row r="3" spans="9:14" ht="12.75">
      <c r="I3" s="20"/>
      <c r="K3" s="74"/>
      <c r="L3" s="74"/>
      <c r="M3" s="74"/>
      <c r="N3" s="74"/>
    </row>
    <row r="4" spans="6:14" ht="12.75">
      <c r="F4" s="646" t="s">
        <v>521</v>
      </c>
      <c r="G4" s="646"/>
      <c r="H4" s="646"/>
      <c r="I4" s="646"/>
      <c r="J4" s="646"/>
      <c r="K4" s="646"/>
      <c r="L4" s="646"/>
      <c r="M4" s="646"/>
      <c r="N4" s="646"/>
    </row>
    <row r="5" spans="6:14" ht="12.75">
      <c r="F5" s="108"/>
      <c r="G5" s="108"/>
      <c r="H5" s="108"/>
      <c r="I5" s="108"/>
      <c r="J5" s="108"/>
      <c r="K5" s="108"/>
      <c r="L5" s="108"/>
      <c r="M5" s="108"/>
      <c r="N5" s="108"/>
    </row>
    <row r="6" spans="6:14" ht="12.75">
      <c r="F6" s="109"/>
      <c r="G6" s="109"/>
      <c r="H6" s="109"/>
      <c r="I6" s="109"/>
      <c r="J6" s="109"/>
      <c r="K6" s="109"/>
      <c r="L6" s="647" t="s">
        <v>752</v>
      </c>
      <c r="M6" s="647"/>
      <c r="N6" s="647"/>
    </row>
    <row r="7" spans="6:14" ht="12.75">
      <c r="F7" s="69" t="s">
        <v>746</v>
      </c>
      <c r="G7" s="644">
        <v>1</v>
      </c>
      <c r="H7" s="645"/>
      <c r="I7" s="644">
        <v>2</v>
      </c>
      <c r="J7" s="645"/>
      <c r="K7" s="644">
        <v>3</v>
      </c>
      <c r="L7" s="645"/>
      <c r="M7" s="644" t="s">
        <v>747</v>
      </c>
      <c r="N7" s="645"/>
    </row>
    <row r="8" spans="6:14" ht="12.75">
      <c r="F8" s="69" t="s">
        <v>748</v>
      </c>
      <c r="G8" s="64" t="s">
        <v>749</v>
      </c>
      <c r="H8" s="64" t="s">
        <v>750</v>
      </c>
      <c r="I8" s="64" t="s">
        <v>749</v>
      </c>
      <c r="J8" s="64" t="s">
        <v>750</v>
      </c>
      <c r="K8" s="64" t="s">
        <v>749</v>
      </c>
      <c r="L8" s="64" t="s">
        <v>750</v>
      </c>
      <c r="M8" s="64" t="s">
        <v>749</v>
      </c>
      <c r="N8" s="64" t="s">
        <v>750</v>
      </c>
    </row>
    <row r="9" spans="6:14" ht="12.75">
      <c r="F9" s="64">
        <v>1</v>
      </c>
      <c r="G9" s="65">
        <v>92</v>
      </c>
      <c r="H9" s="65">
        <v>142</v>
      </c>
      <c r="I9" s="65">
        <v>118.7</v>
      </c>
      <c r="J9" s="65">
        <v>167.6</v>
      </c>
      <c r="K9" s="65">
        <v>134.3</v>
      </c>
      <c r="L9" s="65">
        <v>183.2</v>
      </c>
      <c r="M9" s="65">
        <v>145.4</v>
      </c>
      <c r="N9" s="65">
        <v>194.5</v>
      </c>
    </row>
    <row r="10" spans="6:14" ht="12.75">
      <c r="F10" s="64">
        <v>2</v>
      </c>
      <c r="G10" s="65">
        <v>57</v>
      </c>
      <c r="H10" s="65">
        <v>88</v>
      </c>
      <c r="I10" s="65">
        <v>73.5</v>
      </c>
      <c r="J10" s="65">
        <v>103.9</v>
      </c>
      <c r="K10" s="65">
        <v>83.2</v>
      </c>
      <c r="L10" s="65">
        <v>113.6</v>
      </c>
      <c r="M10" s="65">
        <v>90.1</v>
      </c>
      <c r="N10" s="65">
        <v>120.6</v>
      </c>
    </row>
    <row r="11" spans="6:14" ht="12.75">
      <c r="F11" s="64">
        <v>3</v>
      </c>
      <c r="G11" s="65">
        <v>44.2</v>
      </c>
      <c r="H11" s="65">
        <v>68.2</v>
      </c>
      <c r="I11" s="65">
        <v>57</v>
      </c>
      <c r="J11" s="65">
        <v>80.4</v>
      </c>
      <c r="K11" s="65">
        <v>64.5</v>
      </c>
      <c r="L11" s="65">
        <v>87.9</v>
      </c>
      <c r="M11" s="65">
        <v>69.8</v>
      </c>
      <c r="N11" s="65">
        <v>93.4</v>
      </c>
    </row>
    <row r="12" spans="6:14" ht="12.75">
      <c r="F12" s="64">
        <v>4</v>
      </c>
      <c r="G12" s="65">
        <v>35.9</v>
      </c>
      <c r="H12" s="65">
        <v>55.4</v>
      </c>
      <c r="I12" s="65">
        <v>46.3</v>
      </c>
      <c r="J12" s="65">
        <v>65.3</v>
      </c>
      <c r="K12" s="65">
        <v>52.4</v>
      </c>
      <c r="L12" s="65">
        <v>71.5</v>
      </c>
      <c r="M12" s="65">
        <v>56.7</v>
      </c>
      <c r="N12" s="65">
        <v>75.9</v>
      </c>
    </row>
    <row r="13" spans="6:14" ht="12.75">
      <c r="F13" s="64" t="s">
        <v>751</v>
      </c>
      <c r="G13" s="65">
        <v>31.3</v>
      </c>
      <c r="H13" s="65">
        <v>48.3</v>
      </c>
      <c r="I13" s="65">
        <v>40.4</v>
      </c>
      <c r="J13" s="65">
        <v>56.9</v>
      </c>
      <c r="K13" s="65">
        <v>45.7</v>
      </c>
      <c r="L13" s="65">
        <v>62.3</v>
      </c>
      <c r="M13" s="65">
        <v>49.4</v>
      </c>
      <c r="N13" s="65">
        <v>66.1</v>
      </c>
    </row>
    <row r="14" spans="6:15" ht="12.75"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6:15" ht="12.75"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6:15" ht="12.75"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6:15" ht="12.75"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6:15" ht="12.75"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6:15" ht="12.75"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6:15" ht="12.75"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6:15" ht="12.75"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6:15" ht="12.75"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6:15" ht="12.75"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6:15" ht="12.75"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6:15" ht="12.75"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6:15" ht="12.75"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6:15" ht="12.75">
      <c r="F27" s="58"/>
      <c r="G27" s="58"/>
      <c r="H27" s="58"/>
      <c r="I27" s="58"/>
      <c r="J27" s="58"/>
      <c r="K27" s="58"/>
      <c r="L27" s="58"/>
      <c r="M27" s="58"/>
      <c r="N27" s="58"/>
      <c r="O27" s="58"/>
    </row>
  </sheetData>
  <sheetProtection/>
  <mergeCells count="7">
    <mergeCell ref="K2:N2"/>
    <mergeCell ref="M7:N7"/>
    <mergeCell ref="F4:N4"/>
    <mergeCell ref="L6:N6"/>
    <mergeCell ref="G7:H7"/>
    <mergeCell ref="I7:J7"/>
    <mergeCell ref="K7:L7"/>
  </mergeCells>
  <printOptions/>
  <pageMargins left="0.9055118110236221" right="0.5118110236220472" top="0.5511811023622047" bottom="0.5511811023622047" header="0.31496062992125984" footer="0.31496062992125984"/>
  <pageSetup fitToHeight="0" fitToWidth="1" horizontalDpi="600" verticalDpi="600" orientation="portrait" paperSize="9" scale="8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zoomScalePageLayoutView="0" workbookViewId="0" topLeftCell="B4">
      <selection activeCell="K18" sqref="K18"/>
    </sheetView>
  </sheetViews>
  <sheetFormatPr defaultColWidth="9.00390625" defaultRowHeight="15.75"/>
  <cols>
    <col min="1" max="1" width="3.50390625" style="19" customWidth="1"/>
    <col min="2" max="2" width="4.50390625" style="19" customWidth="1"/>
    <col min="3" max="3" width="12.375" style="19" customWidth="1"/>
    <col min="4" max="4" width="11.25390625" style="19" customWidth="1"/>
    <col min="5" max="5" width="13.625" style="19" customWidth="1"/>
    <col min="6" max="6" width="9.25390625" style="19" customWidth="1"/>
    <col min="7" max="7" width="12.375" style="19" customWidth="1"/>
    <col min="8" max="8" width="10.625" style="19" customWidth="1"/>
    <col min="9" max="9" width="10.00390625" style="19" customWidth="1"/>
    <col min="10" max="10" width="9.50390625" style="19" customWidth="1"/>
    <col min="11" max="11" width="12.375" style="19" customWidth="1"/>
    <col min="12" max="12" width="11.00390625" style="42" customWidth="1"/>
    <col min="13" max="13" width="11.25390625" style="19" customWidth="1"/>
    <col min="14" max="14" width="10.875" style="19" customWidth="1"/>
    <col min="15" max="15" width="11.125" style="19" customWidth="1"/>
    <col min="16" max="16" width="10.75390625" style="19" customWidth="1"/>
    <col min="17" max="17" width="12.75390625" style="19" customWidth="1"/>
    <col min="18" max="18" width="8.125" style="19" customWidth="1"/>
    <col min="19" max="19" width="9.625" style="19" customWidth="1"/>
    <col min="20" max="22" width="10.25390625" style="19" customWidth="1"/>
    <col min="23" max="24" width="14.875" style="19" customWidth="1"/>
    <col min="25" max="25" width="10.25390625" style="19" customWidth="1"/>
    <col min="26" max="16384" width="9.00390625" style="19" customWidth="1"/>
  </cols>
  <sheetData>
    <row r="1" spans="25:26" ht="12.75">
      <c r="Y1" s="20" t="s">
        <v>852</v>
      </c>
      <c r="Z1" s="19" t="s">
        <v>1194</v>
      </c>
    </row>
    <row r="3" spans="2:25" ht="36" customHeight="1">
      <c r="B3" s="482" t="s">
        <v>831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</row>
    <row r="4" spans="1:25" ht="94.5" customHeight="1">
      <c r="A4" s="43"/>
      <c r="B4" s="23" t="s">
        <v>138</v>
      </c>
      <c r="C4" s="23" t="s">
        <v>830</v>
      </c>
      <c r="D4" s="23" t="s">
        <v>837</v>
      </c>
      <c r="E4" s="23" t="s">
        <v>164</v>
      </c>
      <c r="F4" s="23" t="s">
        <v>209</v>
      </c>
      <c r="G4" s="23" t="s">
        <v>7</v>
      </c>
      <c r="H4" s="23" t="s">
        <v>150</v>
      </c>
      <c r="I4" s="23" t="s">
        <v>151</v>
      </c>
      <c r="J4" s="23" t="s">
        <v>159</v>
      </c>
      <c r="K4" s="23" t="s">
        <v>152</v>
      </c>
      <c r="L4" s="44" t="s">
        <v>497</v>
      </c>
      <c r="M4" s="23" t="s">
        <v>153</v>
      </c>
      <c r="N4" s="44" t="s">
        <v>161</v>
      </c>
      <c r="O4" s="627" t="s">
        <v>160</v>
      </c>
      <c r="P4" s="627" t="s">
        <v>154</v>
      </c>
      <c r="Q4" s="23" t="s">
        <v>155</v>
      </c>
      <c r="R4" s="627" t="s">
        <v>392</v>
      </c>
      <c r="S4" s="627" t="s">
        <v>156</v>
      </c>
      <c r="T4" s="23" t="s">
        <v>833</v>
      </c>
      <c r="U4" s="34" t="s">
        <v>394</v>
      </c>
      <c r="V4" s="34" t="s">
        <v>397</v>
      </c>
      <c r="W4" s="627" t="s">
        <v>393</v>
      </c>
      <c r="X4" s="23" t="s">
        <v>51</v>
      </c>
      <c r="Y4" s="627" t="s">
        <v>157</v>
      </c>
    </row>
    <row r="5" spans="2:25" ht="15.75" customHeight="1" hidden="1">
      <c r="B5" s="45"/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45"/>
      <c r="O5" s="627"/>
      <c r="P5" s="627"/>
      <c r="Q5" s="23"/>
      <c r="R5" s="627"/>
      <c r="S5" s="627"/>
      <c r="T5" s="23"/>
      <c r="U5" s="23"/>
      <c r="V5" s="23"/>
      <c r="W5" s="627"/>
      <c r="X5" s="23"/>
      <c r="Y5" s="627"/>
    </row>
    <row r="6" spans="2:25" ht="15.75" customHeight="1" hidden="1">
      <c r="B6" s="45"/>
      <c r="C6" s="23"/>
      <c r="D6" s="23"/>
      <c r="E6" s="23"/>
      <c r="F6" s="23"/>
      <c r="G6" s="23"/>
      <c r="H6" s="23"/>
      <c r="I6" s="23"/>
      <c r="J6" s="23"/>
      <c r="K6" s="23"/>
      <c r="L6" s="44"/>
      <c r="M6" s="23"/>
      <c r="N6" s="45"/>
      <c r="O6" s="627"/>
      <c r="P6" s="627"/>
      <c r="Q6" s="23"/>
      <c r="R6" s="627"/>
      <c r="S6" s="627"/>
      <c r="T6" s="23"/>
      <c r="U6" s="23"/>
      <c r="V6" s="23"/>
      <c r="W6" s="627"/>
      <c r="X6" s="23"/>
      <c r="Y6" s="627"/>
    </row>
    <row r="7" spans="2:25" ht="12.75">
      <c r="B7" s="22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7">
        <v>10</v>
      </c>
      <c r="L7" s="47">
        <v>11</v>
      </c>
      <c r="M7" s="47">
        <v>12</v>
      </c>
      <c r="N7" s="48">
        <v>13</v>
      </c>
      <c r="O7" s="48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  <c r="X7" s="22">
        <v>23</v>
      </c>
      <c r="Y7" s="22">
        <v>24</v>
      </c>
    </row>
    <row r="8" spans="2:25" ht="17.25" customHeight="1">
      <c r="B8" s="24">
        <v>1</v>
      </c>
      <c r="C8" s="483" t="s">
        <v>10</v>
      </c>
      <c r="D8" s="483" t="s">
        <v>411</v>
      </c>
      <c r="E8" s="49" t="s">
        <v>11</v>
      </c>
      <c r="F8" s="475">
        <v>2750.6</v>
      </c>
      <c r="G8" s="51">
        <f aca="true" t="shared" si="0" ref="G8:G39">H8+I8+J8+K8+L8+M8+N8+O8+P8+Q8+R8+S8+T8+W8+X8+U8+V8</f>
        <v>25.340000000000003</v>
      </c>
      <c r="H8" s="51">
        <v>3.5</v>
      </c>
      <c r="I8" s="51">
        <v>0.03</v>
      </c>
      <c r="J8" s="51">
        <v>6.1</v>
      </c>
      <c r="K8" s="51">
        <v>3.05</v>
      </c>
      <c r="L8" s="52">
        <v>1.95</v>
      </c>
      <c r="M8" s="51">
        <v>1.25</v>
      </c>
      <c r="N8" s="51">
        <v>0.91</v>
      </c>
      <c r="O8" s="51">
        <v>2.74</v>
      </c>
      <c r="P8" s="51">
        <v>0</v>
      </c>
      <c r="Q8" s="51">
        <v>0</v>
      </c>
      <c r="R8" s="51">
        <v>3.02</v>
      </c>
      <c r="S8" s="51">
        <v>0</v>
      </c>
      <c r="T8" s="51">
        <v>0</v>
      </c>
      <c r="U8" s="51">
        <v>0.29</v>
      </c>
      <c r="V8" s="51">
        <v>0.1</v>
      </c>
      <c r="W8" s="51">
        <v>0.03</v>
      </c>
      <c r="X8" s="51">
        <v>2.37</v>
      </c>
      <c r="Y8" s="26" t="s">
        <v>208</v>
      </c>
    </row>
    <row r="9" spans="2:25" ht="16.5" customHeight="1">
      <c r="B9" s="24">
        <v>2</v>
      </c>
      <c r="C9" s="484"/>
      <c r="D9" s="484"/>
      <c r="E9" s="49" t="s">
        <v>12</v>
      </c>
      <c r="F9" s="475">
        <v>3447.6</v>
      </c>
      <c r="G9" s="51">
        <f t="shared" si="0"/>
        <v>25.340000000000003</v>
      </c>
      <c r="H9" s="51">
        <v>3.5</v>
      </c>
      <c r="I9" s="51">
        <v>0.03</v>
      </c>
      <c r="J9" s="51">
        <v>6.1</v>
      </c>
      <c r="K9" s="51">
        <v>3.05</v>
      </c>
      <c r="L9" s="52">
        <v>1.95</v>
      </c>
      <c r="M9" s="51">
        <v>1.25</v>
      </c>
      <c r="N9" s="51">
        <v>0.91</v>
      </c>
      <c r="O9" s="51">
        <v>2.74</v>
      </c>
      <c r="P9" s="51">
        <v>0</v>
      </c>
      <c r="Q9" s="51">
        <v>0</v>
      </c>
      <c r="R9" s="51">
        <v>3.02</v>
      </c>
      <c r="S9" s="51">
        <v>0</v>
      </c>
      <c r="T9" s="51">
        <v>0</v>
      </c>
      <c r="U9" s="51">
        <v>0.29</v>
      </c>
      <c r="V9" s="51">
        <v>0.1</v>
      </c>
      <c r="W9" s="51">
        <v>0.03</v>
      </c>
      <c r="X9" s="51">
        <v>2.37</v>
      </c>
      <c r="Y9" s="26" t="s">
        <v>208</v>
      </c>
    </row>
    <row r="10" spans="2:25" ht="15.75" customHeight="1">
      <c r="B10" s="24">
        <v>3</v>
      </c>
      <c r="C10" s="484"/>
      <c r="D10" s="484"/>
      <c r="E10" s="49" t="s">
        <v>13</v>
      </c>
      <c r="F10" s="475">
        <v>3091.6</v>
      </c>
      <c r="G10" s="51">
        <f t="shared" si="0"/>
        <v>25.340000000000003</v>
      </c>
      <c r="H10" s="51">
        <v>3.5</v>
      </c>
      <c r="I10" s="51">
        <v>0.03</v>
      </c>
      <c r="J10" s="51">
        <v>6.1</v>
      </c>
      <c r="K10" s="51">
        <v>3.05</v>
      </c>
      <c r="L10" s="52">
        <v>1.95</v>
      </c>
      <c r="M10" s="51">
        <v>1.25</v>
      </c>
      <c r="N10" s="51">
        <v>0.91</v>
      </c>
      <c r="O10" s="51">
        <v>2.74</v>
      </c>
      <c r="P10" s="51">
        <v>0</v>
      </c>
      <c r="Q10" s="51">
        <v>0</v>
      </c>
      <c r="R10" s="51">
        <v>3.02</v>
      </c>
      <c r="S10" s="51">
        <v>0</v>
      </c>
      <c r="T10" s="51">
        <v>0</v>
      </c>
      <c r="U10" s="51">
        <v>0.29</v>
      </c>
      <c r="V10" s="51">
        <v>0.1</v>
      </c>
      <c r="W10" s="51">
        <v>0.03</v>
      </c>
      <c r="X10" s="51">
        <v>2.37</v>
      </c>
      <c r="Y10" s="26" t="s">
        <v>208</v>
      </c>
    </row>
    <row r="11" spans="2:25" ht="15" customHeight="1">
      <c r="B11" s="24">
        <v>4</v>
      </c>
      <c r="C11" s="484"/>
      <c r="D11" s="484"/>
      <c r="E11" s="49" t="s">
        <v>14</v>
      </c>
      <c r="F11" s="475">
        <v>2287.5</v>
      </c>
      <c r="G11" s="51">
        <f t="shared" si="0"/>
        <v>25.340000000000003</v>
      </c>
      <c r="H11" s="51">
        <v>3.5</v>
      </c>
      <c r="I11" s="51">
        <v>0.03</v>
      </c>
      <c r="J11" s="51">
        <v>6.1</v>
      </c>
      <c r="K11" s="51">
        <v>3.05</v>
      </c>
      <c r="L11" s="52">
        <v>1.95</v>
      </c>
      <c r="M11" s="51">
        <v>1.25</v>
      </c>
      <c r="N11" s="51">
        <v>0.91</v>
      </c>
      <c r="O11" s="51">
        <v>2.74</v>
      </c>
      <c r="P11" s="51">
        <v>0</v>
      </c>
      <c r="Q11" s="51">
        <v>0</v>
      </c>
      <c r="R11" s="51">
        <v>3.02</v>
      </c>
      <c r="S11" s="51">
        <v>0</v>
      </c>
      <c r="T11" s="51">
        <v>0</v>
      </c>
      <c r="U11" s="51">
        <v>0.29</v>
      </c>
      <c r="V11" s="51">
        <v>0.1</v>
      </c>
      <c r="W11" s="51">
        <v>0.03</v>
      </c>
      <c r="X11" s="51">
        <v>2.37</v>
      </c>
      <c r="Y11" s="26" t="s">
        <v>208</v>
      </c>
    </row>
    <row r="12" spans="2:25" ht="15.75" customHeight="1">
      <c r="B12" s="24">
        <v>5</v>
      </c>
      <c r="C12" s="484"/>
      <c r="D12" s="484"/>
      <c r="E12" s="49" t="s">
        <v>15</v>
      </c>
      <c r="F12" s="475">
        <v>2226.1</v>
      </c>
      <c r="G12" s="51">
        <f t="shared" si="0"/>
        <v>25.340000000000003</v>
      </c>
      <c r="H12" s="51">
        <v>3.5</v>
      </c>
      <c r="I12" s="51">
        <v>0.03</v>
      </c>
      <c r="J12" s="51">
        <v>6.1</v>
      </c>
      <c r="K12" s="51">
        <v>3.05</v>
      </c>
      <c r="L12" s="52">
        <v>1.95</v>
      </c>
      <c r="M12" s="51">
        <v>1.25</v>
      </c>
      <c r="N12" s="51">
        <v>0.91</v>
      </c>
      <c r="O12" s="51">
        <v>2.74</v>
      </c>
      <c r="P12" s="51">
        <v>0</v>
      </c>
      <c r="Q12" s="51">
        <v>0</v>
      </c>
      <c r="R12" s="51">
        <v>3.02</v>
      </c>
      <c r="S12" s="51">
        <v>0</v>
      </c>
      <c r="T12" s="51">
        <v>0</v>
      </c>
      <c r="U12" s="51">
        <v>0.29</v>
      </c>
      <c r="V12" s="51">
        <v>0.1</v>
      </c>
      <c r="W12" s="51">
        <v>0.03</v>
      </c>
      <c r="X12" s="51">
        <v>2.37</v>
      </c>
      <c r="Y12" s="26" t="s">
        <v>208</v>
      </c>
    </row>
    <row r="13" spans="2:25" ht="17.25" customHeight="1">
      <c r="B13" s="24">
        <v>6</v>
      </c>
      <c r="C13" s="484"/>
      <c r="D13" s="484"/>
      <c r="E13" s="49" t="s">
        <v>16</v>
      </c>
      <c r="F13" s="475">
        <v>2098.1</v>
      </c>
      <c r="G13" s="51">
        <f t="shared" si="0"/>
        <v>25.340000000000003</v>
      </c>
      <c r="H13" s="51">
        <v>3.5</v>
      </c>
      <c r="I13" s="51">
        <v>0.03</v>
      </c>
      <c r="J13" s="51">
        <v>6.1</v>
      </c>
      <c r="K13" s="51">
        <v>3.05</v>
      </c>
      <c r="L13" s="52">
        <v>1.95</v>
      </c>
      <c r="M13" s="51">
        <v>1.25</v>
      </c>
      <c r="N13" s="51">
        <v>0.91</v>
      </c>
      <c r="O13" s="51">
        <v>2.74</v>
      </c>
      <c r="P13" s="51">
        <v>0</v>
      </c>
      <c r="Q13" s="51">
        <v>0</v>
      </c>
      <c r="R13" s="51">
        <v>3.02</v>
      </c>
      <c r="S13" s="51">
        <v>0</v>
      </c>
      <c r="T13" s="51">
        <v>0</v>
      </c>
      <c r="U13" s="51">
        <v>0.29</v>
      </c>
      <c r="V13" s="51">
        <v>0.1</v>
      </c>
      <c r="W13" s="51">
        <v>0.03</v>
      </c>
      <c r="X13" s="51">
        <v>2.37</v>
      </c>
      <c r="Y13" s="26" t="s">
        <v>208</v>
      </c>
    </row>
    <row r="14" spans="2:25" ht="15.75" customHeight="1">
      <c r="B14" s="24">
        <v>7</v>
      </c>
      <c r="C14" s="484"/>
      <c r="D14" s="484"/>
      <c r="E14" s="49" t="s">
        <v>17</v>
      </c>
      <c r="F14" s="475">
        <v>3461.7</v>
      </c>
      <c r="G14" s="51">
        <f t="shared" si="0"/>
        <v>25.340000000000003</v>
      </c>
      <c r="H14" s="51">
        <v>3.5</v>
      </c>
      <c r="I14" s="51">
        <v>0.03</v>
      </c>
      <c r="J14" s="51">
        <v>6.1</v>
      </c>
      <c r="K14" s="51">
        <v>3.05</v>
      </c>
      <c r="L14" s="52">
        <v>1.95</v>
      </c>
      <c r="M14" s="51">
        <v>1.25</v>
      </c>
      <c r="N14" s="51">
        <v>0.91</v>
      </c>
      <c r="O14" s="51">
        <v>2.74</v>
      </c>
      <c r="P14" s="51">
        <v>0</v>
      </c>
      <c r="Q14" s="51">
        <v>0</v>
      </c>
      <c r="R14" s="51">
        <v>3.02</v>
      </c>
      <c r="S14" s="51">
        <v>0</v>
      </c>
      <c r="T14" s="51">
        <v>0</v>
      </c>
      <c r="U14" s="51">
        <v>0.29</v>
      </c>
      <c r="V14" s="51">
        <v>0.1</v>
      </c>
      <c r="W14" s="51">
        <v>0.03</v>
      </c>
      <c r="X14" s="51">
        <v>2.37</v>
      </c>
      <c r="Y14" s="26" t="s">
        <v>208</v>
      </c>
    </row>
    <row r="15" spans="2:25" ht="15.75" customHeight="1">
      <c r="B15" s="24">
        <v>8</v>
      </c>
      <c r="C15" s="484"/>
      <c r="D15" s="484"/>
      <c r="E15" s="49" t="s">
        <v>18</v>
      </c>
      <c r="F15" s="475">
        <v>2064</v>
      </c>
      <c r="G15" s="51">
        <f t="shared" si="0"/>
        <v>25.340000000000003</v>
      </c>
      <c r="H15" s="51">
        <v>3.5</v>
      </c>
      <c r="I15" s="51">
        <v>0.03</v>
      </c>
      <c r="J15" s="51">
        <v>6.1</v>
      </c>
      <c r="K15" s="51">
        <v>3.05</v>
      </c>
      <c r="L15" s="52">
        <v>1.95</v>
      </c>
      <c r="M15" s="51">
        <v>1.25</v>
      </c>
      <c r="N15" s="51">
        <v>0.91</v>
      </c>
      <c r="O15" s="51">
        <v>2.74</v>
      </c>
      <c r="P15" s="51">
        <v>0</v>
      </c>
      <c r="Q15" s="51">
        <v>0</v>
      </c>
      <c r="R15" s="51">
        <v>3.02</v>
      </c>
      <c r="S15" s="51">
        <v>0</v>
      </c>
      <c r="T15" s="51">
        <v>0</v>
      </c>
      <c r="U15" s="51">
        <v>0.29</v>
      </c>
      <c r="V15" s="51">
        <v>0.1</v>
      </c>
      <c r="W15" s="51">
        <v>0.03</v>
      </c>
      <c r="X15" s="51">
        <v>2.37</v>
      </c>
      <c r="Y15" s="26" t="s">
        <v>208</v>
      </c>
    </row>
    <row r="16" spans="2:25" ht="15.75" customHeight="1">
      <c r="B16" s="24">
        <v>9</v>
      </c>
      <c r="C16" s="484"/>
      <c r="D16" s="484"/>
      <c r="E16" s="49" t="s">
        <v>19</v>
      </c>
      <c r="F16" s="475">
        <v>2082.1</v>
      </c>
      <c r="G16" s="51">
        <f t="shared" si="0"/>
        <v>25.340000000000003</v>
      </c>
      <c r="H16" s="51">
        <v>3.5</v>
      </c>
      <c r="I16" s="51">
        <v>0.03</v>
      </c>
      <c r="J16" s="51">
        <v>6.1</v>
      </c>
      <c r="K16" s="51">
        <v>3.05</v>
      </c>
      <c r="L16" s="52">
        <v>1.95</v>
      </c>
      <c r="M16" s="51">
        <v>1.25</v>
      </c>
      <c r="N16" s="51">
        <v>0.91</v>
      </c>
      <c r="O16" s="51">
        <v>2.74</v>
      </c>
      <c r="P16" s="51">
        <v>0</v>
      </c>
      <c r="Q16" s="51">
        <v>0</v>
      </c>
      <c r="R16" s="51">
        <v>3.02</v>
      </c>
      <c r="S16" s="51">
        <v>0</v>
      </c>
      <c r="T16" s="51">
        <v>0</v>
      </c>
      <c r="U16" s="51">
        <v>0.29</v>
      </c>
      <c r="V16" s="51">
        <v>0.1</v>
      </c>
      <c r="W16" s="51">
        <v>0.03</v>
      </c>
      <c r="X16" s="51">
        <v>2.37</v>
      </c>
      <c r="Y16" s="26" t="s">
        <v>208</v>
      </c>
    </row>
    <row r="17" spans="2:25" ht="16.5" customHeight="1">
      <c r="B17" s="24">
        <v>10</v>
      </c>
      <c r="C17" s="484"/>
      <c r="D17" s="484"/>
      <c r="E17" s="49" t="s">
        <v>20</v>
      </c>
      <c r="F17" s="475">
        <v>3417.5</v>
      </c>
      <c r="G17" s="51">
        <f t="shared" si="0"/>
        <v>26.040000000000003</v>
      </c>
      <c r="H17" s="51">
        <v>3.5</v>
      </c>
      <c r="I17" s="51">
        <v>0.03</v>
      </c>
      <c r="J17" s="51">
        <v>5.49</v>
      </c>
      <c r="K17" s="51">
        <v>2.15</v>
      </c>
      <c r="L17" s="52">
        <v>2.01</v>
      </c>
      <c r="M17" s="51">
        <v>2.28</v>
      </c>
      <c r="N17" s="51">
        <v>1.35</v>
      </c>
      <c r="O17" s="51">
        <v>3.72</v>
      </c>
      <c r="P17" s="51">
        <v>0</v>
      </c>
      <c r="Q17" s="51">
        <v>0</v>
      </c>
      <c r="R17" s="51">
        <v>2.89</v>
      </c>
      <c r="S17" s="51">
        <v>0</v>
      </c>
      <c r="T17" s="51">
        <v>0</v>
      </c>
      <c r="U17" s="51">
        <v>0.12</v>
      </c>
      <c r="V17" s="51">
        <v>0.1</v>
      </c>
      <c r="W17" s="51">
        <v>0.03</v>
      </c>
      <c r="X17" s="51">
        <v>2.37</v>
      </c>
      <c r="Y17" s="26" t="s">
        <v>208</v>
      </c>
    </row>
    <row r="18" spans="2:25" ht="15" customHeight="1">
      <c r="B18" s="24">
        <v>11</v>
      </c>
      <c r="C18" s="484"/>
      <c r="D18" s="484"/>
      <c r="E18" s="49" t="s">
        <v>21</v>
      </c>
      <c r="F18" s="475">
        <v>3397.6</v>
      </c>
      <c r="G18" s="51">
        <f t="shared" si="0"/>
        <v>26.040000000000003</v>
      </c>
      <c r="H18" s="51">
        <v>3.5</v>
      </c>
      <c r="I18" s="51">
        <v>0.03</v>
      </c>
      <c r="J18" s="51">
        <v>5.49</v>
      </c>
      <c r="K18" s="51">
        <v>2.15</v>
      </c>
      <c r="L18" s="52">
        <v>2.01</v>
      </c>
      <c r="M18" s="51">
        <v>2.28</v>
      </c>
      <c r="N18" s="51">
        <v>1.35</v>
      </c>
      <c r="O18" s="51">
        <v>3.72</v>
      </c>
      <c r="P18" s="51">
        <v>0</v>
      </c>
      <c r="Q18" s="51">
        <v>0</v>
      </c>
      <c r="R18" s="51">
        <v>2.89</v>
      </c>
      <c r="S18" s="51">
        <v>0</v>
      </c>
      <c r="T18" s="51">
        <v>0</v>
      </c>
      <c r="U18" s="51">
        <v>0.12</v>
      </c>
      <c r="V18" s="51">
        <v>0.1</v>
      </c>
      <c r="W18" s="51">
        <v>0.03</v>
      </c>
      <c r="X18" s="51">
        <v>2.37</v>
      </c>
      <c r="Y18" s="26" t="s">
        <v>208</v>
      </c>
    </row>
    <row r="19" spans="2:25" ht="16.5" customHeight="1">
      <c r="B19" s="24">
        <v>12</v>
      </c>
      <c r="C19" s="484"/>
      <c r="D19" s="484"/>
      <c r="E19" s="49" t="s">
        <v>22</v>
      </c>
      <c r="F19" s="475">
        <v>2195.7</v>
      </c>
      <c r="G19" s="51">
        <f t="shared" si="0"/>
        <v>25.340000000000003</v>
      </c>
      <c r="H19" s="51">
        <v>3.5</v>
      </c>
      <c r="I19" s="51">
        <v>0.03</v>
      </c>
      <c r="J19" s="51">
        <v>6.1</v>
      </c>
      <c r="K19" s="51">
        <v>3.05</v>
      </c>
      <c r="L19" s="52">
        <v>1.95</v>
      </c>
      <c r="M19" s="51">
        <v>1.25</v>
      </c>
      <c r="N19" s="51">
        <v>0.91</v>
      </c>
      <c r="O19" s="51">
        <v>2.74</v>
      </c>
      <c r="P19" s="51">
        <v>0</v>
      </c>
      <c r="Q19" s="51">
        <v>0</v>
      </c>
      <c r="R19" s="51">
        <v>3.02</v>
      </c>
      <c r="S19" s="51">
        <v>0</v>
      </c>
      <c r="T19" s="51">
        <v>0</v>
      </c>
      <c r="U19" s="51">
        <v>0.29</v>
      </c>
      <c r="V19" s="51">
        <v>0.1</v>
      </c>
      <c r="W19" s="51">
        <v>0.03</v>
      </c>
      <c r="X19" s="51">
        <v>2.37</v>
      </c>
      <c r="Y19" s="26" t="s">
        <v>208</v>
      </c>
    </row>
    <row r="20" spans="2:25" ht="16.5" customHeight="1">
      <c r="B20" s="24">
        <v>13</v>
      </c>
      <c r="C20" s="484"/>
      <c r="D20" s="484"/>
      <c r="E20" s="49" t="s">
        <v>23</v>
      </c>
      <c r="F20" s="475">
        <v>2054.3</v>
      </c>
      <c r="G20" s="51">
        <f t="shared" si="0"/>
        <v>26.040000000000003</v>
      </c>
      <c r="H20" s="51">
        <v>3.5</v>
      </c>
      <c r="I20" s="51">
        <v>0.03</v>
      </c>
      <c r="J20" s="51">
        <v>5.49</v>
      </c>
      <c r="K20" s="51">
        <v>2.15</v>
      </c>
      <c r="L20" s="52">
        <v>2.01</v>
      </c>
      <c r="M20" s="51">
        <v>2.28</v>
      </c>
      <c r="N20" s="51">
        <v>1.35</v>
      </c>
      <c r="O20" s="51">
        <v>3.72</v>
      </c>
      <c r="P20" s="51">
        <v>0</v>
      </c>
      <c r="Q20" s="51">
        <v>0</v>
      </c>
      <c r="R20" s="51">
        <v>2.89</v>
      </c>
      <c r="S20" s="51">
        <v>0</v>
      </c>
      <c r="T20" s="51">
        <v>0</v>
      </c>
      <c r="U20" s="51">
        <v>0.12</v>
      </c>
      <c r="V20" s="51">
        <v>0.1</v>
      </c>
      <c r="W20" s="51">
        <v>0.03</v>
      </c>
      <c r="X20" s="51">
        <v>2.37</v>
      </c>
      <c r="Y20" s="26" t="s">
        <v>208</v>
      </c>
    </row>
    <row r="21" spans="2:25" ht="16.5" customHeight="1">
      <c r="B21" s="24">
        <v>14</v>
      </c>
      <c r="C21" s="484"/>
      <c r="D21" s="484"/>
      <c r="E21" s="49" t="s">
        <v>24</v>
      </c>
      <c r="F21" s="475">
        <v>3465.7</v>
      </c>
      <c r="G21" s="51">
        <f t="shared" si="0"/>
        <v>25.340000000000003</v>
      </c>
      <c r="H21" s="51">
        <v>3.5</v>
      </c>
      <c r="I21" s="51">
        <v>0.03</v>
      </c>
      <c r="J21" s="51">
        <v>6.1</v>
      </c>
      <c r="K21" s="51">
        <v>3.05</v>
      </c>
      <c r="L21" s="52">
        <v>1.95</v>
      </c>
      <c r="M21" s="51">
        <v>1.25</v>
      </c>
      <c r="N21" s="51">
        <v>0.91</v>
      </c>
      <c r="O21" s="51">
        <v>2.74</v>
      </c>
      <c r="P21" s="51">
        <v>0</v>
      </c>
      <c r="Q21" s="51">
        <v>0</v>
      </c>
      <c r="R21" s="51">
        <v>3.02</v>
      </c>
      <c r="S21" s="51">
        <v>0</v>
      </c>
      <c r="T21" s="51">
        <v>0</v>
      </c>
      <c r="U21" s="51">
        <v>0.29</v>
      </c>
      <c r="V21" s="51">
        <v>0.1</v>
      </c>
      <c r="W21" s="51">
        <v>0.03</v>
      </c>
      <c r="X21" s="51">
        <v>2.37</v>
      </c>
      <c r="Y21" s="26" t="s">
        <v>208</v>
      </c>
    </row>
    <row r="22" spans="2:25" ht="15.75" customHeight="1">
      <c r="B22" s="24">
        <v>15</v>
      </c>
      <c r="C22" s="484"/>
      <c r="D22" s="484"/>
      <c r="E22" s="49" t="s">
        <v>25</v>
      </c>
      <c r="F22" s="475">
        <v>3422.1</v>
      </c>
      <c r="G22" s="51">
        <f t="shared" si="0"/>
        <v>26.040000000000003</v>
      </c>
      <c r="H22" s="51">
        <v>3.5</v>
      </c>
      <c r="I22" s="51">
        <v>0.03</v>
      </c>
      <c r="J22" s="51">
        <v>5.49</v>
      </c>
      <c r="K22" s="51">
        <v>2.15</v>
      </c>
      <c r="L22" s="52">
        <v>2.01</v>
      </c>
      <c r="M22" s="51">
        <v>2.28</v>
      </c>
      <c r="N22" s="51">
        <v>1.35</v>
      </c>
      <c r="O22" s="51">
        <v>3.72</v>
      </c>
      <c r="P22" s="51">
        <v>0</v>
      </c>
      <c r="Q22" s="51">
        <v>0</v>
      </c>
      <c r="R22" s="51">
        <v>2.89</v>
      </c>
      <c r="S22" s="51">
        <v>0</v>
      </c>
      <c r="T22" s="51">
        <v>0</v>
      </c>
      <c r="U22" s="51">
        <v>0.12</v>
      </c>
      <c r="V22" s="51">
        <v>0.1</v>
      </c>
      <c r="W22" s="51">
        <v>0.03</v>
      </c>
      <c r="X22" s="51">
        <v>2.37</v>
      </c>
      <c r="Y22" s="26" t="s">
        <v>208</v>
      </c>
    </row>
    <row r="23" spans="2:25" ht="15.75" customHeight="1">
      <c r="B23" s="24">
        <v>16</v>
      </c>
      <c r="C23" s="484"/>
      <c r="D23" s="484"/>
      <c r="E23" s="49" t="s">
        <v>26</v>
      </c>
      <c r="F23" s="475">
        <v>3485.7</v>
      </c>
      <c r="G23" s="51">
        <f t="shared" si="0"/>
        <v>25.340000000000003</v>
      </c>
      <c r="H23" s="51">
        <v>3.5</v>
      </c>
      <c r="I23" s="51">
        <v>0.03</v>
      </c>
      <c r="J23" s="51">
        <v>6.1</v>
      </c>
      <c r="K23" s="51">
        <v>3.05</v>
      </c>
      <c r="L23" s="52">
        <v>1.95</v>
      </c>
      <c r="M23" s="51">
        <v>1.25</v>
      </c>
      <c r="N23" s="51">
        <v>0.91</v>
      </c>
      <c r="O23" s="51">
        <v>2.74</v>
      </c>
      <c r="P23" s="51">
        <v>0</v>
      </c>
      <c r="Q23" s="51">
        <v>0</v>
      </c>
      <c r="R23" s="51">
        <v>3.02</v>
      </c>
      <c r="S23" s="51">
        <v>0</v>
      </c>
      <c r="T23" s="51">
        <v>0</v>
      </c>
      <c r="U23" s="51">
        <v>0.29</v>
      </c>
      <c r="V23" s="51">
        <v>0.1</v>
      </c>
      <c r="W23" s="51">
        <v>0.03</v>
      </c>
      <c r="X23" s="51">
        <v>2.37</v>
      </c>
      <c r="Y23" s="26" t="s">
        <v>208</v>
      </c>
    </row>
    <row r="24" spans="2:25" ht="15.75" customHeight="1">
      <c r="B24" s="24">
        <v>17</v>
      </c>
      <c r="C24" s="484"/>
      <c r="D24" s="484"/>
      <c r="E24" s="49" t="s">
        <v>27</v>
      </c>
      <c r="F24" s="475">
        <v>725.9</v>
      </c>
      <c r="G24" s="51">
        <f t="shared" si="0"/>
        <v>26.040000000000003</v>
      </c>
      <c r="H24" s="51">
        <v>3.5</v>
      </c>
      <c r="I24" s="51">
        <v>0.03</v>
      </c>
      <c r="J24" s="51">
        <v>5.49</v>
      </c>
      <c r="K24" s="51">
        <v>2.15</v>
      </c>
      <c r="L24" s="52">
        <v>2.01</v>
      </c>
      <c r="M24" s="51">
        <v>2.28</v>
      </c>
      <c r="N24" s="51">
        <v>1.35</v>
      </c>
      <c r="O24" s="51">
        <v>3.72</v>
      </c>
      <c r="P24" s="51">
        <v>0</v>
      </c>
      <c r="Q24" s="51">
        <v>0</v>
      </c>
      <c r="R24" s="51">
        <v>2.89</v>
      </c>
      <c r="S24" s="51">
        <v>0</v>
      </c>
      <c r="T24" s="51">
        <v>0</v>
      </c>
      <c r="U24" s="51">
        <v>0.12</v>
      </c>
      <c r="V24" s="51">
        <v>0.1</v>
      </c>
      <c r="W24" s="51">
        <v>0.03</v>
      </c>
      <c r="X24" s="51">
        <v>2.37</v>
      </c>
      <c r="Y24" s="26" t="s">
        <v>208</v>
      </c>
    </row>
    <row r="25" spans="2:25" ht="16.5" customHeight="1">
      <c r="B25" s="24">
        <v>18</v>
      </c>
      <c r="C25" s="484"/>
      <c r="D25" s="484"/>
      <c r="E25" s="49" t="s">
        <v>28</v>
      </c>
      <c r="F25" s="475">
        <v>3439.4</v>
      </c>
      <c r="G25" s="51">
        <f t="shared" si="0"/>
        <v>26.040000000000003</v>
      </c>
      <c r="H25" s="51">
        <v>3.5</v>
      </c>
      <c r="I25" s="51">
        <v>0.03</v>
      </c>
      <c r="J25" s="51">
        <v>5.49</v>
      </c>
      <c r="K25" s="51">
        <v>2.15</v>
      </c>
      <c r="L25" s="52">
        <v>2.01</v>
      </c>
      <c r="M25" s="51">
        <v>2.28</v>
      </c>
      <c r="N25" s="51">
        <v>1.35</v>
      </c>
      <c r="O25" s="51">
        <v>3.72</v>
      </c>
      <c r="P25" s="51">
        <v>0</v>
      </c>
      <c r="Q25" s="51">
        <v>0</v>
      </c>
      <c r="R25" s="51">
        <v>2.89</v>
      </c>
      <c r="S25" s="51">
        <v>0</v>
      </c>
      <c r="T25" s="51">
        <v>0</v>
      </c>
      <c r="U25" s="51">
        <v>0.12</v>
      </c>
      <c r="V25" s="51">
        <v>0.1</v>
      </c>
      <c r="W25" s="51">
        <v>0.03</v>
      </c>
      <c r="X25" s="51">
        <v>2.37</v>
      </c>
      <c r="Y25" s="26" t="s">
        <v>208</v>
      </c>
    </row>
    <row r="26" spans="2:25" ht="16.5" customHeight="1">
      <c r="B26" s="24">
        <v>19</v>
      </c>
      <c r="C26" s="484"/>
      <c r="D26" s="484"/>
      <c r="E26" s="49" t="s">
        <v>29</v>
      </c>
      <c r="F26" s="476">
        <v>2067.4</v>
      </c>
      <c r="G26" s="51">
        <f t="shared" si="0"/>
        <v>26.040000000000003</v>
      </c>
      <c r="H26" s="51">
        <v>3.5</v>
      </c>
      <c r="I26" s="51">
        <v>0.03</v>
      </c>
      <c r="J26" s="51">
        <v>5.49</v>
      </c>
      <c r="K26" s="51">
        <v>2.15</v>
      </c>
      <c r="L26" s="52">
        <v>2.01</v>
      </c>
      <c r="M26" s="51">
        <v>2.28</v>
      </c>
      <c r="N26" s="51">
        <v>1.35</v>
      </c>
      <c r="O26" s="51">
        <v>3.72</v>
      </c>
      <c r="P26" s="51">
        <v>0</v>
      </c>
      <c r="Q26" s="51">
        <v>0</v>
      </c>
      <c r="R26" s="51">
        <v>2.89</v>
      </c>
      <c r="S26" s="51">
        <v>0</v>
      </c>
      <c r="T26" s="51">
        <v>0</v>
      </c>
      <c r="U26" s="51">
        <v>0.12</v>
      </c>
      <c r="V26" s="51">
        <v>0.1</v>
      </c>
      <c r="W26" s="51">
        <v>0.03</v>
      </c>
      <c r="X26" s="51">
        <v>2.37</v>
      </c>
      <c r="Y26" s="26" t="s">
        <v>208</v>
      </c>
    </row>
    <row r="27" spans="2:25" ht="18" customHeight="1">
      <c r="B27" s="24">
        <v>20</v>
      </c>
      <c r="C27" s="484"/>
      <c r="D27" s="484"/>
      <c r="E27" s="49" t="s">
        <v>30</v>
      </c>
      <c r="F27" s="476">
        <v>2105.5</v>
      </c>
      <c r="G27" s="51">
        <f t="shared" si="0"/>
        <v>26.040000000000003</v>
      </c>
      <c r="H27" s="51">
        <v>3.5</v>
      </c>
      <c r="I27" s="51">
        <v>0.03</v>
      </c>
      <c r="J27" s="51">
        <v>5.49</v>
      </c>
      <c r="K27" s="51">
        <v>2.15</v>
      </c>
      <c r="L27" s="52">
        <v>2.01</v>
      </c>
      <c r="M27" s="51">
        <v>2.28</v>
      </c>
      <c r="N27" s="51">
        <v>1.35</v>
      </c>
      <c r="O27" s="51">
        <v>3.72</v>
      </c>
      <c r="P27" s="51">
        <v>0</v>
      </c>
      <c r="Q27" s="51">
        <v>0</v>
      </c>
      <c r="R27" s="51">
        <v>2.89</v>
      </c>
      <c r="S27" s="51">
        <v>0</v>
      </c>
      <c r="T27" s="51">
        <v>0</v>
      </c>
      <c r="U27" s="51">
        <v>0.12</v>
      </c>
      <c r="V27" s="51">
        <v>0.1</v>
      </c>
      <c r="W27" s="51">
        <v>0.03</v>
      </c>
      <c r="X27" s="51">
        <v>2.37</v>
      </c>
      <c r="Y27" s="26" t="s">
        <v>208</v>
      </c>
    </row>
    <row r="28" spans="2:25" ht="18" customHeight="1">
      <c r="B28" s="24">
        <v>21</v>
      </c>
      <c r="C28" s="484"/>
      <c r="D28" s="484"/>
      <c r="E28" s="49" t="s">
        <v>31</v>
      </c>
      <c r="F28" s="476">
        <v>3458.5</v>
      </c>
      <c r="G28" s="51">
        <f t="shared" si="0"/>
        <v>26.040000000000003</v>
      </c>
      <c r="H28" s="51">
        <v>3.5</v>
      </c>
      <c r="I28" s="51">
        <v>0.03</v>
      </c>
      <c r="J28" s="51">
        <v>5.49</v>
      </c>
      <c r="K28" s="51">
        <v>2.15</v>
      </c>
      <c r="L28" s="52">
        <v>2.01</v>
      </c>
      <c r="M28" s="51">
        <v>2.28</v>
      </c>
      <c r="N28" s="51">
        <v>1.35</v>
      </c>
      <c r="O28" s="51">
        <v>3.72</v>
      </c>
      <c r="P28" s="51">
        <v>0</v>
      </c>
      <c r="Q28" s="51">
        <v>0</v>
      </c>
      <c r="R28" s="51">
        <v>2.89</v>
      </c>
      <c r="S28" s="51">
        <v>0</v>
      </c>
      <c r="T28" s="51">
        <v>0</v>
      </c>
      <c r="U28" s="51">
        <v>0.12</v>
      </c>
      <c r="V28" s="51">
        <v>0.1</v>
      </c>
      <c r="W28" s="51">
        <v>0.03</v>
      </c>
      <c r="X28" s="51">
        <v>2.37</v>
      </c>
      <c r="Y28" s="26" t="s">
        <v>208</v>
      </c>
    </row>
    <row r="29" spans="2:25" ht="16.5" customHeight="1">
      <c r="B29" s="24">
        <v>22</v>
      </c>
      <c r="C29" s="484"/>
      <c r="D29" s="484"/>
      <c r="E29" s="49" t="s">
        <v>32</v>
      </c>
      <c r="F29" s="476">
        <v>2096.2</v>
      </c>
      <c r="G29" s="51">
        <f t="shared" si="0"/>
        <v>26.040000000000003</v>
      </c>
      <c r="H29" s="51">
        <v>3.5</v>
      </c>
      <c r="I29" s="51">
        <v>0.03</v>
      </c>
      <c r="J29" s="51">
        <v>5.49</v>
      </c>
      <c r="K29" s="51">
        <v>2.15</v>
      </c>
      <c r="L29" s="52">
        <v>2.01</v>
      </c>
      <c r="M29" s="51">
        <v>2.28</v>
      </c>
      <c r="N29" s="51">
        <v>1.35</v>
      </c>
      <c r="O29" s="51">
        <v>3.72</v>
      </c>
      <c r="P29" s="51">
        <v>0</v>
      </c>
      <c r="Q29" s="51">
        <v>0</v>
      </c>
      <c r="R29" s="51">
        <v>2.89</v>
      </c>
      <c r="S29" s="51">
        <v>0</v>
      </c>
      <c r="T29" s="51">
        <v>0</v>
      </c>
      <c r="U29" s="51">
        <v>0.12</v>
      </c>
      <c r="V29" s="51">
        <v>0.1</v>
      </c>
      <c r="W29" s="51">
        <v>0.03</v>
      </c>
      <c r="X29" s="51">
        <v>2.37</v>
      </c>
      <c r="Y29" s="26" t="s">
        <v>208</v>
      </c>
    </row>
    <row r="30" spans="2:25" ht="16.5" customHeight="1">
      <c r="B30" s="24">
        <v>23</v>
      </c>
      <c r="C30" s="484"/>
      <c r="D30" s="484"/>
      <c r="E30" s="49" t="s">
        <v>33</v>
      </c>
      <c r="F30" s="476">
        <v>722.4</v>
      </c>
      <c r="G30" s="51">
        <f t="shared" si="0"/>
        <v>26.040000000000003</v>
      </c>
      <c r="H30" s="51">
        <v>3.5</v>
      </c>
      <c r="I30" s="51">
        <v>0.03</v>
      </c>
      <c r="J30" s="51">
        <v>5.49</v>
      </c>
      <c r="K30" s="51">
        <v>2.15</v>
      </c>
      <c r="L30" s="52">
        <v>2.01</v>
      </c>
      <c r="M30" s="51">
        <v>2.28</v>
      </c>
      <c r="N30" s="51">
        <v>1.35</v>
      </c>
      <c r="O30" s="51">
        <v>3.72</v>
      </c>
      <c r="P30" s="51">
        <v>0</v>
      </c>
      <c r="Q30" s="51">
        <v>0</v>
      </c>
      <c r="R30" s="51">
        <v>2.89</v>
      </c>
      <c r="S30" s="51">
        <v>0</v>
      </c>
      <c r="T30" s="51">
        <v>0</v>
      </c>
      <c r="U30" s="51">
        <v>0.12</v>
      </c>
      <c r="V30" s="51">
        <v>0.1</v>
      </c>
      <c r="W30" s="51">
        <v>0.03</v>
      </c>
      <c r="X30" s="51">
        <v>2.37</v>
      </c>
      <c r="Y30" s="26" t="s">
        <v>208</v>
      </c>
    </row>
    <row r="31" spans="2:25" ht="15" customHeight="1">
      <c r="B31" s="24">
        <v>24</v>
      </c>
      <c r="C31" s="484"/>
      <c r="D31" s="484"/>
      <c r="E31" s="49" t="s">
        <v>34</v>
      </c>
      <c r="F31" s="476">
        <v>1379.2</v>
      </c>
      <c r="G31" s="51">
        <f t="shared" si="0"/>
        <v>26.040000000000003</v>
      </c>
      <c r="H31" s="51">
        <v>3.5</v>
      </c>
      <c r="I31" s="51">
        <v>0.03</v>
      </c>
      <c r="J31" s="51">
        <v>5.49</v>
      </c>
      <c r="K31" s="51">
        <v>2.15</v>
      </c>
      <c r="L31" s="52">
        <v>2.01</v>
      </c>
      <c r="M31" s="51">
        <v>2.28</v>
      </c>
      <c r="N31" s="51">
        <v>1.35</v>
      </c>
      <c r="O31" s="51">
        <v>3.72</v>
      </c>
      <c r="P31" s="51">
        <v>0</v>
      </c>
      <c r="Q31" s="51">
        <v>0</v>
      </c>
      <c r="R31" s="51">
        <v>2.89</v>
      </c>
      <c r="S31" s="51">
        <v>0</v>
      </c>
      <c r="T31" s="51">
        <v>0</v>
      </c>
      <c r="U31" s="51">
        <v>0.12</v>
      </c>
      <c r="V31" s="51">
        <v>0.1</v>
      </c>
      <c r="W31" s="51">
        <v>0.03</v>
      </c>
      <c r="X31" s="51">
        <v>2.37</v>
      </c>
      <c r="Y31" s="26" t="s">
        <v>208</v>
      </c>
    </row>
    <row r="32" spans="2:25" ht="18" customHeight="1">
      <c r="B32" s="24">
        <v>25</v>
      </c>
      <c r="C32" s="484"/>
      <c r="D32" s="484"/>
      <c r="E32" s="49" t="s">
        <v>35</v>
      </c>
      <c r="F32" s="50">
        <v>2075.1</v>
      </c>
      <c r="G32" s="51">
        <f t="shared" si="0"/>
        <v>26.040000000000003</v>
      </c>
      <c r="H32" s="51">
        <v>3.5</v>
      </c>
      <c r="I32" s="51">
        <v>0.03</v>
      </c>
      <c r="J32" s="51">
        <v>5.49</v>
      </c>
      <c r="K32" s="51">
        <v>2.15</v>
      </c>
      <c r="L32" s="52">
        <v>2.01</v>
      </c>
      <c r="M32" s="51">
        <v>2.28</v>
      </c>
      <c r="N32" s="51">
        <v>1.35</v>
      </c>
      <c r="O32" s="51">
        <v>3.72</v>
      </c>
      <c r="P32" s="51">
        <v>0</v>
      </c>
      <c r="Q32" s="51">
        <v>0</v>
      </c>
      <c r="R32" s="51">
        <v>2.89</v>
      </c>
      <c r="S32" s="51">
        <v>0</v>
      </c>
      <c r="T32" s="51">
        <v>0</v>
      </c>
      <c r="U32" s="51">
        <v>0.12</v>
      </c>
      <c r="V32" s="51">
        <v>0.1</v>
      </c>
      <c r="W32" s="51">
        <v>0.03</v>
      </c>
      <c r="X32" s="51">
        <v>2.37</v>
      </c>
      <c r="Y32" s="26" t="s">
        <v>208</v>
      </c>
    </row>
    <row r="33" spans="2:25" ht="15.75" customHeight="1">
      <c r="B33" s="24">
        <v>26</v>
      </c>
      <c r="C33" s="484"/>
      <c r="D33" s="484"/>
      <c r="E33" s="49" t="s">
        <v>36</v>
      </c>
      <c r="F33" s="50">
        <v>3467.9</v>
      </c>
      <c r="G33" s="51">
        <f t="shared" si="0"/>
        <v>26.040000000000003</v>
      </c>
      <c r="H33" s="51">
        <v>3.5</v>
      </c>
      <c r="I33" s="51">
        <v>0.03</v>
      </c>
      <c r="J33" s="51">
        <v>5.49</v>
      </c>
      <c r="K33" s="51">
        <v>2.15</v>
      </c>
      <c r="L33" s="52">
        <v>2.01</v>
      </c>
      <c r="M33" s="51">
        <v>2.28</v>
      </c>
      <c r="N33" s="51">
        <v>1.35</v>
      </c>
      <c r="O33" s="51">
        <v>3.72</v>
      </c>
      <c r="P33" s="51">
        <v>0</v>
      </c>
      <c r="Q33" s="51">
        <v>0</v>
      </c>
      <c r="R33" s="51">
        <v>2.89</v>
      </c>
      <c r="S33" s="51">
        <v>0</v>
      </c>
      <c r="T33" s="51">
        <v>0</v>
      </c>
      <c r="U33" s="51">
        <v>0.12</v>
      </c>
      <c r="V33" s="51">
        <v>0.1</v>
      </c>
      <c r="W33" s="51">
        <v>0.03</v>
      </c>
      <c r="X33" s="51">
        <v>2.37</v>
      </c>
      <c r="Y33" s="26" t="s">
        <v>208</v>
      </c>
    </row>
    <row r="34" spans="2:25" ht="18" customHeight="1">
      <c r="B34" s="24">
        <v>27</v>
      </c>
      <c r="C34" s="484"/>
      <c r="D34" s="484"/>
      <c r="E34" s="49" t="s">
        <v>37</v>
      </c>
      <c r="F34" s="50">
        <v>2084.4</v>
      </c>
      <c r="G34" s="51">
        <f t="shared" si="0"/>
        <v>26.040000000000003</v>
      </c>
      <c r="H34" s="51">
        <v>3.5</v>
      </c>
      <c r="I34" s="51">
        <v>0.03</v>
      </c>
      <c r="J34" s="51">
        <v>5.49</v>
      </c>
      <c r="K34" s="51">
        <v>2.15</v>
      </c>
      <c r="L34" s="52">
        <v>2.01</v>
      </c>
      <c r="M34" s="51">
        <v>2.28</v>
      </c>
      <c r="N34" s="51">
        <v>1.35</v>
      </c>
      <c r="O34" s="51">
        <v>3.72</v>
      </c>
      <c r="P34" s="51">
        <v>0</v>
      </c>
      <c r="Q34" s="51">
        <v>0</v>
      </c>
      <c r="R34" s="51">
        <v>2.89</v>
      </c>
      <c r="S34" s="51">
        <v>0</v>
      </c>
      <c r="T34" s="51">
        <v>0</v>
      </c>
      <c r="U34" s="51">
        <v>0.12</v>
      </c>
      <c r="V34" s="51">
        <v>0.1</v>
      </c>
      <c r="W34" s="51">
        <v>0.03</v>
      </c>
      <c r="X34" s="51">
        <v>2.37</v>
      </c>
      <c r="Y34" s="26" t="s">
        <v>208</v>
      </c>
    </row>
    <row r="35" spans="2:25" ht="16.5" customHeight="1">
      <c r="B35" s="24">
        <v>28</v>
      </c>
      <c r="C35" s="484"/>
      <c r="D35" s="484"/>
      <c r="E35" s="49" t="s">
        <v>413</v>
      </c>
      <c r="F35" s="50">
        <v>3463.1</v>
      </c>
      <c r="G35" s="51">
        <f t="shared" si="0"/>
        <v>26.040000000000003</v>
      </c>
      <c r="H35" s="51">
        <v>3.5</v>
      </c>
      <c r="I35" s="51">
        <v>0.03</v>
      </c>
      <c r="J35" s="51">
        <v>5.49</v>
      </c>
      <c r="K35" s="51">
        <v>2.15</v>
      </c>
      <c r="L35" s="52">
        <v>2.01</v>
      </c>
      <c r="M35" s="51">
        <v>2.28</v>
      </c>
      <c r="N35" s="51">
        <v>1.35</v>
      </c>
      <c r="O35" s="51">
        <v>3.72</v>
      </c>
      <c r="P35" s="51">
        <v>0</v>
      </c>
      <c r="Q35" s="51">
        <v>0</v>
      </c>
      <c r="R35" s="51">
        <v>2.89</v>
      </c>
      <c r="S35" s="51">
        <v>0</v>
      </c>
      <c r="T35" s="51">
        <v>0</v>
      </c>
      <c r="U35" s="51">
        <v>0.12</v>
      </c>
      <c r="V35" s="51">
        <v>0.1</v>
      </c>
      <c r="W35" s="51">
        <v>0.03</v>
      </c>
      <c r="X35" s="51">
        <v>2.37</v>
      </c>
      <c r="Y35" s="26" t="s">
        <v>208</v>
      </c>
    </row>
    <row r="36" spans="2:25" ht="18" customHeight="1">
      <c r="B36" s="24">
        <v>29</v>
      </c>
      <c r="C36" s="484"/>
      <c r="D36" s="484"/>
      <c r="E36" s="49" t="s">
        <v>414</v>
      </c>
      <c r="F36" s="50">
        <v>2842.1</v>
      </c>
      <c r="G36" s="51">
        <f t="shared" si="0"/>
        <v>26.040000000000003</v>
      </c>
      <c r="H36" s="51">
        <v>3.5</v>
      </c>
      <c r="I36" s="51">
        <v>0.03</v>
      </c>
      <c r="J36" s="51">
        <v>5.49</v>
      </c>
      <c r="K36" s="51">
        <v>2.15</v>
      </c>
      <c r="L36" s="52">
        <v>2.01</v>
      </c>
      <c r="M36" s="51">
        <v>2.28</v>
      </c>
      <c r="N36" s="51">
        <v>1.35</v>
      </c>
      <c r="O36" s="51">
        <v>3.72</v>
      </c>
      <c r="P36" s="51">
        <v>0</v>
      </c>
      <c r="Q36" s="51">
        <v>0</v>
      </c>
      <c r="R36" s="51">
        <v>2.89</v>
      </c>
      <c r="S36" s="51">
        <v>0</v>
      </c>
      <c r="T36" s="51">
        <v>0</v>
      </c>
      <c r="U36" s="51">
        <v>0.12</v>
      </c>
      <c r="V36" s="51">
        <v>0.1</v>
      </c>
      <c r="W36" s="51">
        <v>0.03</v>
      </c>
      <c r="X36" s="51">
        <v>2.37</v>
      </c>
      <c r="Y36" s="26" t="s">
        <v>208</v>
      </c>
    </row>
    <row r="37" spans="2:25" ht="18" customHeight="1">
      <c r="B37" s="24">
        <v>30</v>
      </c>
      <c r="C37" s="484"/>
      <c r="D37" s="484"/>
      <c r="E37" s="49" t="s">
        <v>415</v>
      </c>
      <c r="F37" s="50">
        <v>2522.6</v>
      </c>
      <c r="G37" s="51">
        <f t="shared" si="0"/>
        <v>26.040000000000003</v>
      </c>
      <c r="H37" s="51">
        <v>3.5</v>
      </c>
      <c r="I37" s="51">
        <v>0.03</v>
      </c>
      <c r="J37" s="51">
        <v>5.49</v>
      </c>
      <c r="K37" s="51">
        <v>2.15</v>
      </c>
      <c r="L37" s="52">
        <v>2.01</v>
      </c>
      <c r="M37" s="51">
        <v>2.28</v>
      </c>
      <c r="N37" s="51">
        <v>1.35</v>
      </c>
      <c r="O37" s="51">
        <v>3.72</v>
      </c>
      <c r="P37" s="51">
        <v>0</v>
      </c>
      <c r="Q37" s="51">
        <v>0</v>
      </c>
      <c r="R37" s="51">
        <v>2.89</v>
      </c>
      <c r="S37" s="51">
        <v>0</v>
      </c>
      <c r="T37" s="51">
        <v>0</v>
      </c>
      <c r="U37" s="51">
        <v>0.12</v>
      </c>
      <c r="V37" s="51">
        <v>0.1</v>
      </c>
      <c r="W37" s="51">
        <v>0.03</v>
      </c>
      <c r="X37" s="51">
        <v>2.37</v>
      </c>
      <c r="Y37" s="26" t="s">
        <v>208</v>
      </c>
    </row>
    <row r="38" spans="2:25" ht="17.25" customHeight="1">
      <c r="B38" s="24">
        <v>31</v>
      </c>
      <c r="C38" s="484"/>
      <c r="D38" s="484"/>
      <c r="E38" s="49" t="s">
        <v>416</v>
      </c>
      <c r="F38" s="50">
        <v>3449.3</v>
      </c>
      <c r="G38" s="51">
        <f t="shared" si="0"/>
        <v>26.040000000000003</v>
      </c>
      <c r="H38" s="51">
        <v>3.5</v>
      </c>
      <c r="I38" s="51">
        <v>0.03</v>
      </c>
      <c r="J38" s="51">
        <v>5.49</v>
      </c>
      <c r="K38" s="51">
        <v>2.15</v>
      </c>
      <c r="L38" s="52">
        <v>2.01</v>
      </c>
      <c r="M38" s="51">
        <v>2.28</v>
      </c>
      <c r="N38" s="51">
        <v>1.35</v>
      </c>
      <c r="O38" s="51">
        <v>3.72</v>
      </c>
      <c r="P38" s="51">
        <v>0</v>
      </c>
      <c r="Q38" s="51">
        <v>0</v>
      </c>
      <c r="R38" s="51">
        <v>2.89</v>
      </c>
      <c r="S38" s="51">
        <v>0</v>
      </c>
      <c r="T38" s="51">
        <v>0</v>
      </c>
      <c r="U38" s="51">
        <v>0.12</v>
      </c>
      <c r="V38" s="51">
        <v>0.1</v>
      </c>
      <c r="W38" s="51">
        <v>0.03</v>
      </c>
      <c r="X38" s="51">
        <v>2.37</v>
      </c>
      <c r="Y38" s="26" t="s">
        <v>208</v>
      </c>
    </row>
    <row r="39" spans="2:25" ht="17.25" customHeight="1">
      <c r="B39" s="24">
        <v>32</v>
      </c>
      <c r="C39" s="484"/>
      <c r="D39" s="484"/>
      <c r="E39" s="49" t="s">
        <v>417</v>
      </c>
      <c r="F39" s="50">
        <v>2076</v>
      </c>
      <c r="G39" s="51">
        <f t="shared" si="0"/>
        <v>26.040000000000003</v>
      </c>
      <c r="H39" s="51">
        <v>3.5</v>
      </c>
      <c r="I39" s="51">
        <v>0.03</v>
      </c>
      <c r="J39" s="51">
        <v>5.49</v>
      </c>
      <c r="K39" s="51">
        <v>2.15</v>
      </c>
      <c r="L39" s="52">
        <v>2.01</v>
      </c>
      <c r="M39" s="51">
        <v>2.28</v>
      </c>
      <c r="N39" s="51">
        <v>1.35</v>
      </c>
      <c r="O39" s="51">
        <v>3.72</v>
      </c>
      <c r="P39" s="51">
        <v>0</v>
      </c>
      <c r="Q39" s="51">
        <v>0</v>
      </c>
      <c r="R39" s="51">
        <v>2.89</v>
      </c>
      <c r="S39" s="51">
        <v>0</v>
      </c>
      <c r="T39" s="51">
        <v>0</v>
      </c>
      <c r="U39" s="51">
        <v>0.12</v>
      </c>
      <c r="V39" s="51">
        <v>0.1</v>
      </c>
      <c r="W39" s="51">
        <v>0.03</v>
      </c>
      <c r="X39" s="51">
        <v>2.37</v>
      </c>
      <c r="Y39" s="26" t="s">
        <v>208</v>
      </c>
    </row>
    <row r="40" spans="2:25" ht="16.5" customHeight="1">
      <c r="B40" s="24">
        <v>33</v>
      </c>
      <c r="C40" s="484"/>
      <c r="D40" s="484"/>
      <c r="E40" s="49" t="s">
        <v>418</v>
      </c>
      <c r="F40" s="50">
        <v>2059.4</v>
      </c>
      <c r="G40" s="51">
        <f aca="true" t="shared" si="1" ref="G40:G57">H40+I40+J40+K40+L40+M40+N40+O40+P40+Q40+R40+S40+T40+W40+X40+U40+V40</f>
        <v>26.040000000000003</v>
      </c>
      <c r="H40" s="51">
        <v>3.5</v>
      </c>
      <c r="I40" s="51">
        <v>0.03</v>
      </c>
      <c r="J40" s="51">
        <v>5.49</v>
      </c>
      <c r="K40" s="51">
        <v>2.15</v>
      </c>
      <c r="L40" s="52">
        <v>2.01</v>
      </c>
      <c r="M40" s="51">
        <v>2.28</v>
      </c>
      <c r="N40" s="51">
        <v>1.35</v>
      </c>
      <c r="O40" s="51">
        <v>3.72</v>
      </c>
      <c r="P40" s="51">
        <v>0</v>
      </c>
      <c r="Q40" s="51">
        <v>0</v>
      </c>
      <c r="R40" s="51">
        <v>2.89</v>
      </c>
      <c r="S40" s="51">
        <v>0</v>
      </c>
      <c r="T40" s="51">
        <v>0</v>
      </c>
      <c r="U40" s="51">
        <v>0.12</v>
      </c>
      <c r="V40" s="51">
        <v>0.1</v>
      </c>
      <c r="W40" s="51">
        <v>0.03</v>
      </c>
      <c r="X40" s="51">
        <v>2.37</v>
      </c>
      <c r="Y40" s="26" t="s">
        <v>208</v>
      </c>
    </row>
    <row r="41" spans="2:25" ht="15.75" customHeight="1">
      <c r="B41" s="24">
        <v>34</v>
      </c>
      <c r="C41" s="484"/>
      <c r="D41" s="484"/>
      <c r="E41" s="49" t="s">
        <v>419</v>
      </c>
      <c r="F41" s="50">
        <v>2121.5</v>
      </c>
      <c r="G41" s="51">
        <f t="shared" si="1"/>
        <v>26.040000000000003</v>
      </c>
      <c r="H41" s="51">
        <v>3.5</v>
      </c>
      <c r="I41" s="51">
        <v>0.03</v>
      </c>
      <c r="J41" s="51">
        <v>5.49</v>
      </c>
      <c r="K41" s="51">
        <v>2.15</v>
      </c>
      <c r="L41" s="52">
        <v>2.01</v>
      </c>
      <c r="M41" s="51">
        <v>2.28</v>
      </c>
      <c r="N41" s="51">
        <v>1.35</v>
      </c>
      <c r="O41" s="51">
        <v>3.72</v>
      </c>
      <c r="P41" s="51">
        <v>0</v>
      </c>
      <c r="Q41" s="51">
        <v>0</v>
      </c>
      <c r="R41" s="51">
        <v>2.89</v>
      </c>
      <c r="S41" s="51">
        <v>0</v>
      </c>
      <c r="T41" s="51">
        <v>0</v>
      </c>
      <c r="U41" s="51">
        <v>0.12</v>
      </c>
      <c r="V41" s="51">
        <v>0.1</v>
      </c>
      <c r="W41" s="51">
        <v>0.03</v>
      </c>
      <c r="X41" s="51">
        <v>2.37</v>
      </c>
      <c r="Y41" s="26" t="s">
        <v>208</v>
      </c>
    </row>
    <row r="42" spans="2:25" ht="17.25" customHeight="1">
      <c r="B42" s="24">
        <v>35</v>
      </c>
      <c r="C42" s="484"/>
      <c r="D42" s="484"/>
      <c r="E42" s="49" t="s">
        <v>420</v>
      </c>
      <c r="F42" s="50">
        <v>4331.9</v>
      </c>
      <c r="G42" s="51">
        <f t="shared" si="1"/>
        <v>26.040000000000003</v>
      </c>
      <c r="H42" s="51">
        <v>3.5</v>
      </c>
      <c r="I42" s="51">
        <v>0.03</v>
      </c>
      <c r="J42" s="51">
        <v>5.49</v>
      </c>
      <c r="K42" s="51">
        <v>2.15</v>
      </c>
      <c r="L42" s="52">
        <v>2.01</v>
      </c>
      <c r="M42" s="51">
        <v>2.28</v>
      </c>
      <c r="N42" s="51">
        <v>1.35</v>
      </c>
      <c r="O42" s="51">
        <v>3.72</v>
      </c>
      <c r="P42" s="51">
        <v>0</v>
      </c>
      <c r="Q42" s="51">
        <v>0</v>
      </c>
      <c r="R42" s="51">
        <v>2.89</v>
      </c>
      <c r="S42" s="51">
        <v>0</v>
      </c>
      <c r="T42" s="51">
        <v>0</v>
      </c>
      <c r="U42" s="51">
        <v>0.12</v>
      </c>
      <c r="V42" s="51">
        <v>0.1</v>
      </c>
      <c r="W42" s="51">
        <v>0.03</v>
      </c>
      <c r="X42" s="51">
        <v>2.37</v>
      </c>
      <c r="Y42" s="26" t="s">
        <v>208</v>
      </c>
    </row>
    <row r="43" spans="2:25" ht="15.75" customHeight="1">
      <c r="B43" s="24">
        <v>36</v>
      </c>
      <c r="C43" s="484"/>
      <c r="D43" s="484"/>
      <c r="E43" s="49" t="s">
        <v>421</v>
      </c>
      <c r="F43" s="50">
        <v>3265.7</v>
      </c>
      <c r="G43" s="51">
        <f t="shared" si="1"/>
        <v>26.040000000000003</v>
      </c>
      <c r="H43" s="51">
        <v>3.5</v>
      </c>
      <c r="I43" s="51">
        <v>0.03</v>
      </c>
      <c r="J43" s="51">
        <v>5.49</v>
      </c>
      <c r="K43" s="51">
        <v>2.15</v>
      </c>
      <c r="L43" s="52">
        <v>2.01</v>
      </c>
      <c r="M43" s="51">
        <v>2.28</v>
      </c>
      <c r="N43" s="51">
        <v>1.35</v>
      </c>
      <c r="O43" s="51">
        <v>3.72</v>
      </c>
      <c r="P43" s="51">
        <v>0</v>
      </c>
      <c r="Q43" s="51">
        <v>0</v>
      </c>
      <c r="R43" s="51">
        <v>2.89</v>
      </c>
      <c r="S43" s="51">
        <v>0</v>
      </c>
      <c r="T43" s="51">
        <v>0</v>
      </c>
      <c r="U43" s="51">
        <v>0.12</v>
      </c>
      <c r="V43" s="51">
        <v>0.1</v>
      </c>
      <c r="W43" s="51">
        <v>0.03</v>
      </c>
      <c r="X43" s="51">
        <v>2.37</v>
      </c>
      <c r="Y43" s="26" t="s">
        <v>208</v>
      </c>
    </row>
    <row r="44" spans="2:25" ht="16.5" customHeight="1">
      <c r="B44" s="24">
        <v>37</v>
      </c>
      <c r="C44" s="484"/>
      <c r="D44" s="484"/>
      <c r="E44" s="49" t="s">
        <v>422</v>
      </c>
      <c r="F44" s="50">
        <v>3266.5</v>
      </c>
      <c r="G44" s="51">
        <f t="shared" si="1"/>
        <v>26.040000000000003</v>
      </c>
      <c r="H44" s="51">
        <v>3.5</v>
      </c>
      <c r="I44" s="51">
        <v>0.03</v>
      </c>
      <c r="J44" s="51">
        <v>5.49</v>
      </c>
      <c r="K44" s="51">
        <v>2.15</v>
      </c>
      <c r="L44" s="52">
        <v>2.01</v>
      </c>
      <c r="M44" s="51">
        <v>2.28</v>
      </c>
      <c r="N44" s="51">
        <v>1.35</v>
      </c>
      <c r="O44" s="51">
        <v>3.72</v>
      </c>
      <c r="P44" s="51">
        <v>0</v>
      </c>
      <c r="Q44" s="51">
        <v>0</v>
      </c>
      <c r="R44" s="51">
        <v>2.89</v>
      </c>
      <c r="S44" s="51">
        <v>0</v>
      </c>
      <c r="T44" s="51">
        <v>0</v>
      </c>
      <c r="U44" s="51">
        <v>0.12</v>
      </c>
      <c r="V44" s="51">
        <v>0.1</v>
      </c>
      <c r="W44" s="51">
        <v>0.03</v>
      </c>
      <c r="X44" s="51">
        <v>2.37</v>
      </c>
      <c r="Y44" s="26" t="s">
        <v>208</v>
      </c>
    </row>
    <row r="45" spans="2:25" ht="15.75" customHeight="1">
      <c r="B45" s="24">
        <v>38</v>
      </c>
      <c r="C45" s="484"/>
      <c r="D45" s="484"/>
      <c r="E45" s="49" t="s">
        <v>423</v>
      </c>
      <c r="F45" s="50">
        <v>4124.7</v>
      </c>
      <c r="G45" s="51">
        <f t="shared" si="1"/>
        <v>26.040000000000003</v>
      </c>
      <c r="H45" s="51">
        <v>3.5</v>
      </c>
      <c r="I45" s="51">
        <v>0.03</v>
      </c>
      <c r="J45" s="51">
        <v>5.49</v>
      </c>
      <c r="K45" s="51">
        <v>2.15</v>
      </c>
      <c r="L45" s="52">
        <v>2.01</v>
      </c>
      <c r="M45" s="51">
        <v>2.28</v>
      </c>
      <c r="N45" s="51">
        <v>1.35</v>
      </c>
      <c r="O45" s="51">
        <v>3.72</v>
      </c>
      <c r="P45" s="51">
        <v>0</v>
      </c>
      <c r="Q45" s="51">
        <v>0</v>
      </c>
      <c r="R45" s="51">
        <v>2.89</v>
      </c>
      <c r="S45" s="51">
        <v>0</v>
      </c>
      <c r="T45" s="51">
        <v>0</v>
      </c>
      <c r="U45" s="51">
        <v>0.12</v>
      </c>
      <c r="V45" s="51">
        <v>0.1</v>
      </c>
      <c r="W45" s="51">
        <v>0.03</v>
      </c>
      <c r="X45" s="51">
        <v>2.37</v>
      </c>
      <c r="Y45" s="26" t="s">
        <v>208</v>
      </c>
    </row>
    <row r="46" spans="2:25" ht="16.5" customHeight="1">
      <c r="B46" s="24">
        <v>39</v>
      </c>
      <c r="C46" s="484"/>
      <c r="D46" s="484"/>
      <c r="E46" s="49" t="s">
        <v>424</v>
      </c>
      <c r="F46" s="50">
        <v>3171.9</v>
      </c>
      <c r="G46" s="51">
        <f t="shared" si="1"/>
        <v>26.040000000000003</v>
      </c>
      <c r="H46" s="51">
        <v>3.5</v>
      </c>
      <c r="I46" s="51">
        <v>0.03</v>
      </c>
      <c r="J46" s="51">
        <v>5.49</v>
      </c>
      <c r="K46" s="51">
        <v>2.15</v>
      </c>
      <c r="L46" s="52">
        <v>2.01</v>
      </c>
      <c r="M46" s="51">
        <v>2.28</v>
      </c>
      <c r="N46" s="51">
        <v>1.35</v>
      </c>
      <c r="O46" s="51">
        <v>3.72</v>
      </c>
      <c r="P46" s="51">
        <v>0</v>
      </c>
      <c r="Q46" s="51">
        <v>0</v>
      </c>
      <c r="R46" s="51">
        <v>2.89</v>
      </c>
      <c r="S46" s="51">
        <v>0</v>
      </c>
      <c r="T46" s="51">
        <v>0</v>
      </c>
      <c r="U46" s="51">
        <v>0.12</v>
      </c>
      <c r="V46" s="51">
        <v>0.1</v>
      </c>
      <c r="W46" s="51">
        <v>0.03</v>
      </c>
      <c r="X46" s="51">
        <v>2.37</v>
      </c>
      <c r="Y46" s="26" t="s">
        <v>208</v>
      </c>
    </row>
    <row r="47" spans="2:25" ht="16.5" customHeight="1">
      <c r="B47" s="24">
        <v>40</v>
      </c>
      <c r="C47" s="484"/>
      <c r="D47" s="484"/>
      <c r="E47" s="49" t="s">
        <v>425</v>
      </c>
      <c r="F47" s="50">
        <v>2366.9</v>
      </c>
      <c r="G47" s="51">
        <f t="shared" si="1"/>
        <v>26.040000000000003</v>
      </c>
      <c r="H47" s="51">
        <v>3.5</v>
      </c>
      <c r="I47" s="51">
        <v>0.03</v>
      </c>
      <c r="J47" s="51">
        <v>5.49</v>
      </c>
      <c r="K47" s="51">
        <v>2.15</v>
      </c>
      <c r="L47" s="52">
        <v>2.01</v>
      </c>
      <c r="M47" s="51">
        <v>2.28</v>
      </c>
      <c r="N47" s="51">
        <v>1.35</v>
      </c>
      <c r="O47" s="51">
        <v>3.72</v>
      </c>
      <c r="P47" s="51">
        <v>0</v>
      </c>
      <c r="Q47" s="51">
        <v>0</v>
      </c>
      <c r="R47" s="51">
        <v>2.89</v>
      </c>
      <c r="S47" s="51">
        <v>0</v>
      </c>
      <c r="T47" s="51">
        <v>0</v>
      </c>
      <c r="U47" s="51">
        <v>0.12</v>
      </c>
      <c r="V47" s="51">
        <v>0.1</v>
      </c>
      <c r="W47" s="51">
        <v>0.03</v>
      </c>
      <c r="X47" s="51">
        <v>2.37</v>
      </c>
      <c r="Y47" s="26" t="s">
        <v>208</v>
      </c>
    </row>
    <row r="48" spans="2:25" ht="18.75" customHeight="1">
      <c r="B48" s="24">
        <v>41</v>
      </c>
      <c r="C48" s="484"/>
      <c r="D48" s="484"/>
      <c r="E48" s="49" t="s">
        <v>426</v>
      </c>
      <c r="F48" s="50">
        <v>2078.6</v>
      </c>
      <c r="G48" s="51">
        <f t="shared" si="1"/>
        <v>25.340000000000003</v>
      </c>
      <c r="H48" s="51">
        <v>3.5</v>
      </c>
      <c r="I48" s="51">
        <v>0.03</v>
      </c>
      <c r="J48" s="51">
        <v>6.1</v>
      </c>
      <c r="K48" s="51">
        <v>3.05</v>
      </c>
      <c r="L48" s="52">
        <v>1.95</v>
      </c>
      <c r="M48" s="51">
        <v>1.25</v>
      </c>
      <c r="N48" s="51">
        <v>0.91</v>
      </c>
      <c r="O48" s="51">
        <v>2.74</v>
      </c>
      <c r="P48" s="51">
        <v>0</v>
      </c>
      <c r="Q48" s="51">
        <v>0</v>
      </c>
      <c r="R48" s="51">
        <v>3.02</v>
      </c>
      <c r="S48" s="51">
        <v>0</v>
      </c>
      <c r="T48" s="51">
        <v>0</v>
      </c>
      <c r="U48" s="51">
        <v>0.29</v>
      </c>
      <c r="V48" s="51">
        <v>0.1</v>
      </c>
      <c r="W48" s="51">
        <v>0.03</v>
      </c>
      <c r="X48" s="51">
        <v>2.37</v>
      </c>
      <c r="Y48" s="26" t="s">
        <v>208</v>
      </c>
    </row>
    <row r="49" spans="2:25" ht="15" customHeight="1">
      <c r="B49" s="24">
        <v>42</v>
      </c>
      <c r="C49" s="484"/>
      <c r="D49" s="484"/>
      <c r="E49" s="49" t="s">
        <v>427</v>
      </c>
      <c r="F49" s="50">
        <v>2037.7</v>
      </c>
      <c r="G49" s="51">
        <f t="shared" si="1"/>
        <v>25.340000000000003</v>
      </c>
      <c r="H49" s="51">
        <v>3.5</v>
      </c>
      <c r="I49" s="51">
        <v>0.03</v>
      </c>
      <c r="J49" s="51">
        <v>6.1</v>
      </c>
      <c r="K49" s="51">
        <v>3.05</v>
      </c>
      <c r="L49" s="52">
        <v>1.95</v>
      </c>
      <c r="M49" s="51">
        <v>1.25</v>
      </c>
      <c r="N49" s="51">
        <v>0.91</v>
      </c>
      <c r="O49" s="51">
        <v>2.74</v>
      </c>
      <c r="P49" s="51">
        <v>0</v>
      </c>
      <c r="Q49" s="51">
        <v>0</v>
      </c>
      <c r="R49" s="51">
        <v>3.02</v>
      </c>
      <c r="S49" s="51">
        <v>0</v>
      </c>
      <c r="T49" s="51">
        <v>0</v>
      </c>
      <c r="U49" s="51">
        <v>0.29</v>
      </c>
      <c r="V49" s="51">
        <v>0.1</v>
      </c>
      <c r="W49" s="51">
        <v>0.03</v>
      </c>
      <c r="X49" s="51">
        <v>2.37</v>
      </c>
      <c r="Y49" s="26" t="s">
        <v>208</v>
      </c>
    </row>
    <row r="50" spans="2:25" ht="17.25" customHeight="1">
      <c r="B50" s="24">
        <v>43</v>
      </c>
      <c r="C50" s="484"/>
      <c r="D50" s="484"/>
      <c r="E50" s="49" t="s">
        <v>428</v>
      </c>
      <c r="F50" s="50">
        <v>2072.5</v>
      </c>
      <c r="G50" s="51">
        <f t="shared" si="1"/>
        <v>25.340000000000003</v>
      </c>
      <c r="H50" s="51">
        <v>3.5</v>
      </c>
      <c r="I50" s="51">
        <v>0.03</v>
      </c>
      <c r="J50" s="51">
        <v>6.1</v>
      </c>
      <c r="K50" s="51">
        <v>3.05</v>
      </c>
      <c r="L50" s="52">
        <v>1.95</v>
      </c>
      <c r="M50" s="51">
        <v>1.25</v>
      </c>
      <c r="N50" s="51">
        <v>0.91</v>
      </c>
      <c r="O50" s="51">
        <v>2.74</v>
      </c>
      <c r="P50" s="51">
        <v>0</v>
      </c>
      <c r="Q50" s="51">
        <v>0</v>
      </c>
      <c r="R50" s="51">
        <v>3.02</v>
      </c>
      <c r="S50" s="51">
        <v>0</v>
      </c>
      <c r="T50" s="51">
        <v>0</v>
      </c>
      <c r="U50" s="51">
        <v>0.29</v>
      </c>
      <c r="V50" s="51">
        <v>0.1</v>
      </c>
      <c r="W50" s="51">
        <v>0.03</v>
      </c>
      <c r="X50" s="51">
        <v>2.37</v>
      </c>
      <c r="Y50" s="26" t="s">
        <v>208</v>
      </c>
    </row>
    <row r="51" spans="2:25" ht="18" customHeight="1">
      <c r="B51" s="24">
        <v>44</v>
      </c>
      <c r="C51" s="484"/>
      <c r="D51" s="484"/>
      <c r="E51" s="49" t="s">
        <v>429</v>
      </c>
      <c r="F51" s="50">
        <v>3160.3</v>
      </c>
      <c r="G51" s="51">
        <f t="shared" si="1"/>
        <v>25.340000000000003</v>
      </c>
      <c r="H51" s="51">
        <v>3.5</v>
      </c>
      <c r="I51" s="51">
        <v>0.03</v>
      </c>
      <c r="J51" s="51">
        <v>6.1</v>
      </c>
      <c r="K51" s="51">
        <v>3.05</v>
      </c>
      <c r="L51" s="52">
        <v>1.95</v>
      </c>
      <c r="M51" s="51">
        <v>1.25</v>
      </c>
      <c r="N51" s="51">
        <v>0.91</v>
      </c>
      <c r="O51" s="51">
        <v>2.74</v>
      </c>
      <c r="P51" s="51">
        <v>0</v>
      </c>
      <c r="Q51" s="51">
        <v>0</v>
      </c>
      <c r="R51" s="51">
        <v>3.02</v>
      </c>
      <c r="S51" s="51">
        <v>0</v>
      </c>
      <c r="T51" s="51">
        <v>0</v>
      </c>
      <c r="U51" s="51">
        <v>0.29</v>
      </c>
      <c r="V51" s="51">
        <v>0.1</v>
      </c>
      <c r="W51" s="51">
        <v>0.03</v>
      </c>
      <c r="X51" s="51">
        <v>2.37</v>
      </c>
      <c r="Y51" s="26" t="s">
        <v>208</v>
      </c>
    </row>
    <row r="52" spans="2:25" ht="18" customHeight="1">
      <c r="B52" s="24">
        <v>45</v>
      </c>
      <c r="C52" s="484"/>
      <c r="D52" s="484"/>
      <c r="E52" s="49" t="s">
        <v>430</v>
      </c>
      <c r="F52" s="50">
        <v>1599.7</v>
      </c>
      <c r="G52" s="51">
        <f t="shared" si="1"/>
        <v>26.040000000000003</v>
      </c>
      <c r="H52" s="51">
        <v>3.5</v>
      </c>
      <c r="I52" s="51">
        <v>0.03</v>
      </c>
      <c r="J52" s="51">
        <v>5.49</v>
      </c>
      <c r="K52" s="51">
        <v>2.15</v>
      </c>
      <c r="L52" s="52">
        <v>2.01</v>
      </c>
      <c r="M52" s="51">
        <v>2.28</v>
      </c>
      <c r="N52" s="51">
        <v>1.35</v>
      </c>
      <c r="O52" s="51">
        <v>3.72</v>
      </c>
      <c r="P52" s="51">
        <v>0</v>
      </c>
      <c r="Q52" s="51">
        <v>0</v>
      </c>
      <c r="R52" s="51">
        <v>2.89</v>
      </c>
      <c r="S52" s="51">
        <v>0</v>
      </c>
      <c r="T52" s="51">
        <v>0</v>
      </c>
      <c r="U52" s="51">
        <v>0.12</v>
      </c>
      <c r="V52" s="51">
        <v>0.1</v>
      </c>
      <c r="W52" s="51">
        <v>0.03</v>
      </c>
      <c r="X52" s="51">
        <v>2.37</v>
      </c>
      <c r="Y52" s="26" t="s">
        <v>208</v>
      </c>
    </row>
    <row r="53" spans="2:25" ht="18" customHeight="1">
      <c r="B53" s="24">
        <v>46</v>
      </c>
      <c r="C53" s="484"/>
      <c r="D53" s="484"/>
      <c r="E53" s="49" t="s">
        <v>431</v>
      </c>
      <c r="F53" s="50">
        <v>1572.1</v>
      </c>
      <c r="G53" s="51">
        <f t="shared" si="1"/>
        <v>26.040000000000003</v>
      </c>
      <c r="H53" s="51">
        <v>3.5</v>
      </c>
      <c r="I53" s="51">
        <v>0.03</v>
      </c>
      <c r="J53" s="51">
        <v>5.49</v>
      </c>
      <c r="K53" s="51">
        <v>2.15</v>
      </c>
      <c r="L53" s="52">
        <v>2.01</v>
      </c>
      <c r="M53" s="51">
        <v>2.28</v>
      </c>
      <c r="N53" s="51">
        <v>1.35</v>
      </c>
      <c r="O53" s="51">
        <v>3.72</v>
      </c>
      <c r="P53" s="51">
        <v>0</v>
      </c>
      <c r="Q53" s="51">
        <v>0</v>
      </c>
      <c r="R53" s="51">
        <v>2.89</v>
      </c>
      <c r="S53" s="51">
        <v>0</v>
      </c>
      <c r="T53" s="51">
        <v>0</v>
      </c>
      <c r="U53" s="51">
        <v>0.12</v>
      </c>
      <c r="V53" s="51">
        <v>0.1</v>
      </c>
      <c r="W53" s="51">
        <v>0.03</v>
      </c>
      <c r="X53" s="51">
        <v>2.37</v>
      </c>
      <c r="Y53" s="26" t="s">
        <v>208</v>
      </c>
    </row>
    <row r="54" spans="2:25" ht="17.25" customHeight="1">
      <c r="B54" s="24">
        <v>47</v>
      </c>
      <c r="C54" s="484"/>
      <c r="D54" s="484"/>
      <c r="E54" s="49" t="s">
        <v>432</v>
      </c>
      <c r="F54" s="50">
        <v>2545.5</v>
      </c>
      <c r="G54" s="51">
        <f t="shared" si="1"/>
        <v>26.040000000000003</v>
      </c>
      <c r="H54" s="51">
        <v>3.5</v>
      </c>
      <c r="I54" s="51">
        <v>0.03</v>
      </c>
      <c r="J54" s="51">
        <v>5.49</v>
      </c>
      <c r="K54" s="51">
        <v>2.15</v>
      </c>
      <c r="L54" s="52">
        <v>2.01</v>
      </c>
      <c r="M54" s="51">
        <v>2.28</v>
      </c>
      <c r="N54" s="51">
        <v>1.35</v>
      </c>
      <c r="O54" s="51">
        <v>3.72</v>
      </c>
      <c r="P54" s="51">
        <v>0</v>
      </c>
      <c r="Q54" s="51">
        <v>0</v>
      </c>
      <c r="R54" s="51">
        <v>2.89</v>
      </c>
      <c r="S54" s="51">
        <v>0</v>
      </c>
      <c r="T54" s="51">
        <v>0</v>
      </c>
      <c r="U54" s="51">
        <v>0.12</v>
      </c>
      <c r="V54" s="51">
        <v>0.1</v>
      </c>
      <c r="W54" s="51">
        <v>0.03</v>
      </c>
      <c r="X54" s="51">
        <v>2.37</v>
      </c>
      <c r="Y54" s="26" t="s">
        <v>208</v>
      </c>
    </row>
    <row r="55" spans="2:25" ht="17.25" customHeight="1">
      <c r="B55" s="24">
        <v>48</v>
      </c>
      <c r="C55" s="484"/>
      <c r="D55" s="484"/>
      <c r="E55" s="49" t="s">
        <v>433</v>
      </c>
      <c r="F55" s="50">
        <v>2523.3</v>
      </c>
      <c r="G55" s="51">
        <f t="shared" si="1"/>
        <v>25.340000000000003</v>
      </c>
      <c r="H55" s="51">
        <v>3.5</v>
      </c>
      <c r="I55" s="51">
        <v>0.03</v>
      </c>
      <c r="J55" s="51">
        <v>6.1</v>
      </c>
      <c r="K55" s="51">
        <v>3.05</v>
      </c>
      <c r="L55" s="52">
        <v>1.95</v>
      </c>
      <c r="M55" s="51">
        <v>1.25</v>
      </c>
      <c r="N55" s="51">
        <v>0.91</v>
      </c>
      <c r="O55" s="51">
        <v>2.74</v>
      </c>
      <c r="P55" s="51">
        <v>0</v>
      </c>
      <c r="Q55" s="51">
        <v>0</v>
      </c>
      <c r="R55" s="51">
        <v>3.02</v>
      </c>
      <c r="S55" s="51">
        <v>0</v>
      </c>
      <c r="T55" s="51">
        <v>0</v>
      </c>
      <c r="U55" s="51">
        <v>0.29</v>
      </c>
      <c r="V55" s="51">
        <v>0.1</v>
      </c>
      <c r="W55" s="51">
        <v>0.03</v>
      </c>
      <c r="X55" s="51">
        <v>2.37</v>
      </c>
      <c r="Y55" s="26" t="s">
        <v>208</v>
      </c>
    </row>
    <row r="56" spans="2:25" ht="16.5" customHeight="1">
      <c r="B56" s="24">
        <v>49</v>
      </c>
      <c r="C56" s="484"/>
      <c r="D56" s="484"/>
      <c r="E56" s="49" t="s">
        <v>434</v>
      </c>
      <c r="F56" s="50">
        <v>1627.9</v>
      </c>
      <c r="G56" s="51">
        <f t="shared" si="1"/>
        <v>25.340000000000003</v>
      </c>
      <c r="H56" s="51">
        <v>3.5</v>
      </c>
      <c r="I56" s="51">
        <v>0.03</v>
      </c>
      <c r="J56" s="51">
        <v>6.1</v>
      </c>
      <c r="K56" s="51">
        <v>3.05</v>
      </c>
      <c r="L56" s="52">
        <v>1.95</v>
      </c>
      <c r="M56" s="51">
        <v>1.25</v>
      </c>
      <c r="N56" s="51">
        <v>0.91</v>
      </c>
      <c r="O56" s="51">
        <v>2.74</v>
      </c>
      <c r="P56" s="51">
        <v>0</v>
      </c>
      <c r="Q56" s="51">
        <v>0</v>
      </c>
      <c r="R56" s="51">
        <v>3.02</v>
      </c>
      <c r="S56" s="51">
        <v>0</v>
      </c>
      <c r="T56" s="51">
        <v>0</v>
      </c>
      <c r="U56" s="51">
        <v>0.29</v>
      </c>
      <c r="V56" s="51">
        <v>0.1</v>
      </c>
      <c r="W56" s="51">
        <v>0.03</v>
      </c>
      <c r="X56" s="51">
        <v>2.37</v>
      </c>
      <c r="Y56" s="26" t="s">
        <v>208</v>
      </c>
    </row>
    <row r="57" spans="2:25" ht="16.5" customHeight="1">
      <c r="B57" s="24">
        <v>50</v>
      </c>
      <c r="C57" s="484"/>
      <c r="D57" s="484"/>
      <c r="E57" s="49" t="s">
        <v>435</v>
      </c>
      <c r="F57" s="50">
        <v>2498.9</v>
      </c>
      <c r="G57" s="51">
        <f t="shared" si="1"/>
        <v>25.340000000000003</v>
      </c>
      <c r="H57" s="51">
        <v>3.5</v>
      </c>
      <c r="I57" s="51">
        <v>0.03</v>
      </c>
      <c r="J57" s="51">
        <v>6.1</v>
      </c>
      <c r="K57" s="51">
        <v>3.05</v>
      </c>
      <c r="L57" s="52">
        <v>1.95</v>
      </c>
      <c r="M57" s="51">
        <v>1.25</v>
      </c>
      <c r="N57" s="51">
        <v>0.91</v>
      </c>
      <c r="O57" s="51">
        <v>2.74</v>
      </c>
      <c r="P57" s="51">
        <v>0</v>
      </c>
      <c r="Q57" s="51">
        <v>0</v>
      </c>
      <c r="R57" s="51">
        <v>3.02</v>
      </c>
      <c r="S57" s="51">
        <v>0</v>
      </c>
      <c r="T57" s="51">
        <v>0</v>
      </c>
      <c r="U57" s="51">
        <v>0.29</v>
      </c>
      <c r="V57" s="51">
        <v>0.1</v>
      </c>
      <c r="W57" s="51">
        <v>0.03</v>
      </c>
      <c r="X57" s="51">
        <v>2.37</v>
      </c>
      <c r="Y57" s="26" t="s">
        <v>208</v>
      </c>
    </row>
    <row r="58" spans="2:25" ht="15.75" customHeight="1">
      <c r="B58" s="24"/>
      <c r="C58" s="22"/>
      <c r="D58" s="22"/>
      <c r="E58" s="22"/>
      <c r="F58" s="54"/>
      <c r="G58" s="54"/>
      <c r="H58" s="54"/>
      <c r="I58" s="54"/>
      <c r="J58" s="54"/>
      <c r="K58" s="54"/>
      <c r="L58" s="55"/>
      <c r="M58" s="5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3:13" ht="12.75">
      <c r="C59" s="650"/>
      <c r="D59" s="56"/>
      <c r="E59" s="56"/>
      <c r="F59" s="648"/>
      <c r="G59" s="648"/>
      <c r="H59" s="648"/>
      <c r="I59" s="648"/>
      <c r="J59" s="648"/>
      <c r="K59" s="648"/>
      <c r="L59" s="648"/>
      <c r="M59" s="648"/>
    </row>
    <row r="60" spans="3:13" ht="12.75">
      <c r="C60" s="650"/>
      <c r="D60" s="56"/>
      <c r="E60" s="56"/>
      <c r="F60" s="651"/>
      <c r="G60" s="651"/>
      <c r="H60" s="651"/>
      <c r="I60" s="651"/>
      <c r="J60" s="651"/>
      <c r="K60" s="651"/>
      <c r="L60" s="651"/>
      <c r="M60" s="651"/>
    </row>
    <row r="61" spans="3:13" ht="12.75">
      <c r="C61" s="650"/>
      <c r="D61" s="56"/>
      <c r="E61" s="56"/>
      <c r="F61" s="651"/>
      <c r="G61" s="651"/>
      <c r="H61" s="651"/>
      <c r="I61" s="651"/>
      <c r="J61" s="651"/>
      <c r="K61" s="651"/>
      <c r="L61" s="651"/>
      <c r="M61" s="651"/>
    </row>
    <row r="62" spans="3:13" ht="12.75">
      <c r="C62" s="650"/>
      <c r="D62" s="56"/>
      <c r="E62" s="56"/>
      <c r="F62" s="651"/>
      <c r="G62" s="651"/>
      <c r="H62" s="651"/>
      <c r="I62" s="651"/>
      <c r="J62" s="651"/>
      <c r="K62" s="651"/>
      <c r="L62" s="651"/>
      <c r="M62" s="651"/>
    </row>
    <row r="63" spans="3:13" ht="12.75">
      <c r="C63" s="650"/>
      <c r="D63" s="56"/>
      <c r="E63" s="56"/>
      <c r="F63" s="651"/>
      <c r="G63" s="651"/>
      <c r="H63" s="651"/>
      <c r="I63" s="651"/>
      <c r="J63" s="651"/>
      <c r="K63" s="651"/>
      <c r="L63" s="651"/>
      <c r="M63" s="651"/>
    </row>
    <row r="64" spans="3:13" ht="12.75">
      <c r="C64" s="56"/>
      <c r="D64" s="56"/>
      <c r="E64" s="56"/>
      <c r="F64" s="648"/>
      <c r="G64" s="648"/>
      <c r="H64" s="648"/>
      <c r="I64" s="648"/>
      <c r="J64" s="648"/>
      <c r="K64" s="648"/>
      <c r="L64" s="648"/>
      <c r="M64" s="648"/>
    </row>
    <row r="65" spans="3:13" ht="12.75">
      <c r="C65" s="56"/>
      <c r="D65" s="56"/>
      <c r="E65" s="56"/>
      <c r="F65" s="648"/>
      <c r="G65" s="648"/>
      <c r="H65" s="648"/>
      <c r="I65" s="648"/>
      <c r="J65" s="648"/>
      <c r="K65" s="648"/>
      <c r="L65" s="648"/>
      <c r="M65" s="648"/>
    </row>
    <row r="66" spans="3:13" ht="12.75">
      <c r="C66" s="56"/>
      <c r="D66" s="56"/>
      <c r="E66" s="56"/>
      <c r="F66" s="648"/>
      <c r="G66" s="648"/>
      <c r="H66" s="648"/>
      <c r="I66" s="648"/>
      <c r="J66" s="648"/>
      <c r="K66" s="648"/>
      <c r="L66" s="648"/>
      <c r="M66" s="648"/>
    </row>
    <row r="67" spans="3:13" ht="12.75">
      <c r="C67" s="56"/>
      <c r="D67" s="56"/>
      <c r="E67" s="56"/>
      <c r="F67" s="648"/>
      <c r="G67" s="648"/>
      <c r="H67" s="648"/>
      <c r="I67" s="648"/>
      <c r="J67" s="648"/>
      <c r="K67" s="648"/>
      <c r="L67" s="648"/>
      <c r="M67" s="648"/>
    </row>
    <row r="68" spans="3:13" ht="12.75">
      <c r="C68" s="650"/>
      <c r="D68" s="56"/>
      <c r="E68" s="56"/>
      <c r="F68" s="648"/>
      <c r="G68" s="648"/>
      <c r="H68" s="648"/>
      <c r="I68" s="648"/>
      <c r="J68" s="648"/>
      <c r="K68" s="648"/>
      <c r="L68" s="648"/>
      <c r="M68" s="648"/>
    </row>
    <row r="69" spans="3:13" ht="12.75">
      <c r="C69" s="650"/>
      <c r="D69" s="56"/>
      <c r="E69" s="56"/>
      <c r="F69" s="651"/>
      <c r="G69" s="651"/>
      <c r="H69" s="651"/>
      <c r="I69" s="651"/>
      <c r="J69" s="651"/>
      <c r="K69" s="651"/>
      <c r="L69" s="651"/>
      <c r="M69" s="651"/>
    </row>
    <row r="70" spans="3:13" ht="12.75">
      <c r="C70" s="650"/>
      <c r="D70" s="56"/>
      <c r="E70" s="56"/>
      <c r="F70" s="651"/>
      <c r="G70" s="651"/>
      <c r="H70" s="651"/>
      <c r="I70" s="651"/>
      <c r="J70" s="651"/>
      <c r="K70" s="651"/>
      <c r="L70" s="651"/>
      <c r="M70" s="651"/>
    </row>
    <row r="71" spans="3:13" ht="12.75">
      <c r="C71" s="650"/>
      <c r="D71" s="56"/>
      <c r="E71" s="56"/>
      <c r="F71" s="651"/>
      <c r="G71" s="651"/>
      <c r="H71" s="651"/>
      <c r="I71" s="651"/>
      <c r="J71" s="651"/>
      <c r="K71" s="651"/>
      <c r="L71" s="651"/>
      <c r="M71" s="651"/>
    </row>
    <row r="72" spans="3:13" ht="12.75">
      <c r="C72" s="56"/>
      <c r="D72" s="56"/>
      <c r="E72" s="56"/>
      <c r="F72" s="648"/>
      <c r="G72" s="648"/>
      <c r="H72" s="648"/>
      <c r="I72" s="648"/>
      <c r="J72" s="648"/>
      <c r="K72" s="648"/>
      <c r="L72" s="648"/>
      <c r="M72" s="648"/>
    </row>
    <row r="73" spans="3:13" ht="12.75">
      <c r="C73" s="56"/>
      <c r="D73" s="56"/>
      <c r="E73" s="56"/>
      <c r="F73" s="648"/>
      <c r="G73" s="648"/>
      <c r="H73" s="648"/>
      <c r="I73" s="648"/>
      <c r="J73" s="648"/>
      <c r="K73" s="648"/>
      <c r="L73" s="648"/>
      <c r="M73" s="648"/>
    </row>
    <row r="74" spans="3:13" ht="12.75">
      <c r="C74" s="652"/>
      <c r="D74" s="652"/>
      <c r="E74" s="652"/>
      <c r="F74" s="652"/>
      <c r="G74" s="652"/>
      <c r="H74" s="652"/>
      <c r="I74" s="652"/>
      <c r="J74" s="652"/>
      <c r="K74" s="652"/>
      <c r="L74" s="652"/>
      <c r="M74" s="652"/>
    </row>
    <row r="75" spans="3:13" ht="12.75">
      <c r="C75" s="56"/>
      <c r="D75" s="56"/>
      <c r="E75" s="56"/>
      <c r="F75" s="648"/>
      <c r="G75" s="648"/>
      <c r="H75" s="648"/>
      <c r="I75" s="648"/>
      <c r="J75" s="648"/>
      <c r="K75" s="648"/>
      <c r="L75" s="648"/>
      <c r="M75" s="648"/>
    </row>
    <row r="76" spans="3:13" ht="12.75">
      <c r="C76" s="56"/>
      <c r="D76" s="56"/>
      <c r="E76" s="56"/>
      <c r="F76" s="648"/>
      <c r="G76" s="648"/>
      <c r="H76" s="648"/>
      <c r="I76" s="648"/>
      <c r="J76" s="648"/>
      <c r="K76" s="648"/>
      <c r="L76" s="648"/>
      <c r="M76" s="648"/>
    </row>
    <row r="77" spans="3:13" ht="12.75">
      <c r="C77" s="56"/>
      <c r="D77" s="56"/>
      <c r="E77" s="56"/>
      <c r="F77" s="648"/>
      <c r="G77" s="648"/>
      <c r="H77" s="648"/>
      <c r="I77" s="648"/>
      <c r="J77" s="648"/>
      <c r="K77" s="648"/>
      <c r="L77" s="648"/>
      <c r="M77" s="648"/>
    </row>
    <row r="78" spans="3:13" ht="12.75">
      <c r="C78" s="56"/>
      <c r="D78" s="56"/>
      <c r="E78" s="56"/>
      <c r="F78" s="648"/>
      <c r="G78" s="648"/>
      <c r="H78" s="648"/>
      <c r="I78" s="648"/>
      <c r="J78" s="648"/>
      <c r="K78" s="648"/>
      <c r="L78" s="648"/>
      <c r="M78" s="648"/>
    </row>
    <row r="79" spans="3:13" ht="12.75">
      <c r="C79" s="56"/>
      <c r="D79" s="56"/>
      <c r="E79" s="56"/>
      <c r="F79" s="648"/>
      <c r="G79" s="648"/>
      <c r="H79" s="648"/>
      <c r="I79" s="648"/>
      <c r="J79" s="648"/>
      <c r="K79" s="648"/>
      <c r="L79" s="648"/>
      <c r="M79" s="648"/>
    </row>
    <row r="80" spans="3:13" ht="12.75">
      <c r="C80" s="56"/>
      <c r="D80" s="56"/>
      <c r="E80" s="56"/>
      <c r="F80" s="648"/>
      <c r="G80" s="648"/>
      <c r="H80" s="648"/>
      <c r="I80" s="648"/>
      <c r="J80" s="648"/>
      <c r="K80" s="648"/>
      <c r="L80" s="648"/>
      <c r="M80" s="648"/>
    </row>
    <row r="81" spans="3:13" ht="12.75">
      <c r="C81" s="56"/>
      <c r="D81" s="56"/>
      <c r="E81" s="56"/>
      <c r="F81" s="648"/>
      <c r="G81" s="648"/>
      <c r="H81" s="648"/>
      <c r="I81" s="648"/>
      <c r="J81" s="648"/>
      <c r="K81" s="648"/>
      <c r="L81" s="648"/>
      <c r="M81" s="648"/>
    </row>
    <row r="82" spans="3:13" ht="12.75">
      <c r="C82" s="56"/>
      <c r="D82" s="56"/>
      <c r="E82" s="56"/>
      <c r="F82" s="648"/>
      <c r="G82" s="648"/>
      <c r="H82" s="648"/>
      <c r="I82" s="648"/>
      <c r="J82" s="648"/>
      <c r="K82" s="648"/>
      <c r="L82" s="648"/>
      <c r="M82" s="648"/>
    </row>
    <row r="83" spans="3:13" ht="12.75">
      <c r="C83" s="56"/>
      <c r="D83" s="56"/>
      <c r="E83" s="56"/>
      <c r="F83" s="648"/>
      <c r="G83" s="648"/>
      <c r="H83" s="648"/>
      <c r="I83" s="648"/>
      <c r="J83" s="648"/>
      <c r="K83" s="648"/>
      <c r="L83" s="648"/>
      <c r="M83" s="648"/>
    </row>
    <row r="84" spans="3:13" ht="12.75">
      <c r="C84" s="56"/>
      <c r="D84" s="56"/>
      <c r="E84" s="56"/>
      <c r="F84" s="648"/>
      <c r="G84" s="648"/>
      <c r="H84" s="648"/>
      <c r="I84" s="648"/>
      <c r="J84" s="648"/>
      <c r="K84" s="648"/>
      <c r="L84" s="648"/>
      <c r="M84" s="648"/>
    </row>
    <row r="85" spans="3:13" ht="12.75">
      <c r="C85" s="56"/>
      <c r="D85" s="56"/>
      <c r="E85" s="56"/>
      <c r="F85" s="648"/>
      <c r="G85" s="648"/>
      <c r="H85" s="648"/>
      <c r="I85" s="648"/>
      <c r="J85" s="648"/>
      <c r="K85" s="648"/>
      <c r="L85" s="648"/>
      <c r="M85" s="648"/>
    </row>
    <row r="86" spans="3:13" ht="12.75">
      <c r="C86" s="56"/>
      <c r="D86" s="56"/>
      <c r="E86" s="56"/>
      <c r="F86" s="648"/>
      <c r="G86" s="648"/>
      <c r="H86" s="648"/>
      <c r="I86" s="648"/>
      <c r="J86" s="648"/>
      <c r="K86" s="648"/>
      <c r="L86" s="648"/>
      <c r="M86" s="648"/>
    </row>
  </sheetData>
  <sheetProtection/>
  <mergeCells count="40">
    <mergeCell ref="F73:M73"/>
    <mergeCell ref="F86:M86"/>
    <mergeCell ref="F82:M82"/>
    <mergeCell ref="F83:M83"/>
    <mergeCell ref="F84:M84"/>
    <mergeCell ref="F85:M85"/>
    <mergeCell ref="F78:M78"/>
    <mergeCell ref="F79:M79"/>
    <mergeCell ref="F80:M80"/>
    <mergeCell ref="F81:M81"/>
    <mergeCell ref="F63:M63"/>
    <mergeCell ref="C74:M74"/>
    <mergeCell ref="F75:M75"/>
    <mergeCell ref="F76:M76"/>
    <mergeCell ref="F77:M77"/>
    <mergeCell ref="C68:C71"/>
    <mergeCell ref="F68:M68"/>
    <mergeCell ref="F69:M69"/>
    <mergeCell ref="F70:M70"/>
    <mergeCell ref="F71:M71"/>
    <mergeCell ref="C5:M5"/>
    <mergeCell ref="P4:P6"/>
    <mergeCell ref="S4:S6"/>
    <mergeCell ref="C8:C57"/>
    <mergeCell ref="D8:D57"/>
    <mergeCell ref="C59:C63"/>
    <mergeCell ref="F59:M59"/>
    <mergeCell ref="F60:M60"/>
    <mergeCell ref="F61:M61"/>
    <mergeCell ref="F62:M62"/>
    <mergeCell ref="F64:M64"/>
    <mergeCell ref="F65:M65"/>
    <mergeCell ref="F66:M66"/>
    <mergeCell ref="F72:M72"/>
    <mergeCell ref="F67:M67"/>
    <mergeCell ref="B3:Y3"/>
    <mergeCell ref="O4:O6"/>
    <mergeCell ref="R4:R6"/>
    <mergeCell ref="W4:W6"/>
    <mergeCell ref="Y4:Y6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4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tabSelected="1" zoomScale="70" zoomScaleNormal="70" zoomScalePageLayoutView="0" workbookViewId="0" topLeftCell="L4">
      <selection activeCell="AA19" sqref="AA19"/>
    </sheetView>
  </sheetViews>
  <sheetFormatPr defaultColWidth="9.00390625" defaultRowHeight="15.75"/>
  <cols>
    <col min="1" max="1" width="3.50390625" style="19" customWidth="1"/>
    <col min="2" max="2" width="4.50390625" style="19" customWidth="1"/>
    <col min="3" max="3" width="12.375" style="19" customWidth="1"/>
    <col min="4" max="4" width="11.25390625" style="19" customWidth="1"/>
    <col min="5" max="5" width="13.625" style="19" customWidth="1"/>
    <col min="6" max="6" width="9.25390625" style="19" customWidth="1"/>
    <col min="7" max="7" width="12.375" style="19" customWidth="1"/>
    <col min="8" max="8" width="10.625" style="19" customWidth="1"/>
    <col min="9" max="9" width="10.00390625" style="19" customWidth="1"/>
    <col min="10" max="10" width="9.50390625" style="19" customWidth="1"/>
    <col min="11" max="11" width="12.375" style="19" customWidth="1"/>
    <col min="12" max="12" width="11.00390625" style="42" customWidth="1"/>
    <col min="13" max="13" width="11.25390625" style="19" customWidth="1"/>
    <col min="14" max="14" width="10.875" style="19" customWidth="1"/>
    <col min="15" max="15" width="11.125" style="19" customWidth="1"/>
    <col min="16" max="16" width="10.75390625" style="19" customWidth="1"/>
    <col min="17" max="17" width="12.75390625" style="19" customWidth="1"/>
    <col min="18" max="18" width="8.125" style="19" customWidth="1"/>
    <col min="19" max="19" width="9.625" style="19" customWidth="1"/>
    <col min="20" max="22" width="10.25390625" style="19" customWidth="1"/>
    <col min="23" max="24" width="14.875" style="19" customWidth="1"/>
    <col min="25" max="25" width="10.25390625" style="19" customWidth="1"/>
    <col min="26" max="16384" width="9.00390625" style="19" customWidth="1"/>
  </cols>
  <sheetData>
    <row r="1" spans="25:26" ht="12.75">
      <c r="Y1" s="20" t="s">
        <v>852</v>
      </c>
      <c r="Z1" s="19" t="s">
        <v>1194</v>
      </c>
    </row>
    <row r="3" spans="2:25" ht="36" customHeight="1">
      <c r="B3" s="482" t="s">
        <v>831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</row>
    <row r="4" spans="1:25" ht="94.5" customHeight="1">
      <c r="A4" s="43"/>
      <c r="B4" s="23" t="s">
        <v>138</v>
      </c>
      <c r="C4" s="23" t="s">
        <v>830</v>
      </c>
      <c r="D4" s="23" t="s">
        <v>837</v>
      </c>
      <c r="E4" s="23" t="s">
        <v>164</v>
      </c>
      <c r="F4" s="23" t="s">
        <v>209</v>
      </c>
      <c r="G4" s="23" t="s">
        <v>7</v>
      </c>
      <c r="H4" s="23" t="s">
        <v>150</v>
      </c>
      <c r="I4" s="23" t="s">
        <v>151</v>
      </c>
      <c r="J4" s="23" t="s">
        <v>159</v>
      </c>
      <c r="K4" s="23" t="s">
        <v>152</v>
      </c>
      <c r="L4" s="44" t="s">
        <v>497</v>
      </c>
      <c r="M4" s="23" t="s">
        <v>153</v>
      </c>
      <c r="N4" s="44" t="s">
        <v>161</v>
      </c>
      <c r="O4" s="627" t="s">
        <v>160</v>
      </c>
      <c r="P4" s="627" t="s">
        <v>154</v>
      </c>
      <c r="Q4" s="23" t="s">
        <v>155</v>
      </c>
      <c r="R4" s="627" t="s">
        <v>392</v>
      </c>
      <c r="S4" s="627" t="s">
        <v>156</v>
      </c>
      <c r="T4" s="23" t="s">
        <v>833</v>
      </c>
      <c r="U4" s="34" t="s">
        <v>394</v>
      </c>
      <c r="V4" s="34" t="s">
        <v>397</v>
      </c>
      <c r="W4" s="627" t="s">
        <v>393</v>
      </c>
      <c r="X4" s="23" t="s">
        <v>51</v>
      </c>
      <c r="Y4" s="627" t="s">
        <v>157</v>
      </c>
    </row>
    <row r="5" spans="2:25" ht="15.75" customHeight="1" hidden="1">
      <c r="B5" s="45"/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45"/>
      <c r="O5" s="627"/>
      <c r="P5" s="627"/>
      <c r="Q5" s="23"/>
      <c r="R5" s="627"/>
      <c r="S5" s="627"/>
      <c r="T5" s="23"/>
      <c r="U5" s="23"/>
      <c r="V5" s="23"/>
      <c r="W5" s="627"/>
      <c r="X5" s="23"/>
      <c r="Y5" s="627"/>
    </row>
    <row r="6" spans="2:25" ht="15.75" customHeight="1" hidden="1">
      <c r="B6" s="45"/>
      <c r="C6" s="23"/>
      <c r="D6" s="23"/>
      <c r="E6" s="23"/>
      <c r="F6" s="23"/>
      <c r="G6" s="23"/>
      <c r="H6" s="23"/>
      <c r="I6" s="23"/>
      <c r="J6" s="23"/>
      <c r="K6" s="23"/>
      <c r="L6" s="44"/>
      <c r="M6" s="23"/>
      <c r="N6" s="45"/>
      <c r="O6" s="627"/>
      <c r="P6" s="627"/>
      <c r="Q6" s="23"/>
      <c r="R6" s="627"/>
      <c r="S6" s="627"/>
      <c r="T6" s="23"/>
      <c r="U6" s="23"/>
      <c r="V6" s="23"/>
      <c r="W6" s="627"/>
      <c r="X6" s="23"/>
      <c r="Y6" s="627"/>
    </row>
    <row r="7" spans="2:25" ht="12.75">
      <c r="B7" s="22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7">
        <v>10</v>
      </c>
      <c r="L7" s="47">
        <v>11</v>
      </c>
      <c r="M7" s="47">
        <v>12</v>
      </c>
      <c r="N7" s="48">
        <v>13</v>
      </c>
      <c r="O7" s="48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  <c r="X7" s="22">
        <v>23</v>
      </c>
      <c r="Y7" s="22">
        <v>24</v>
      </c>
    </row>
    <row r="8" spans="2:25" ht="17.25" customHeight="1">
      <c r="B8" s="24">
        <v>1</v>
      </c>
      <c r="C8" s="483" t="s">
        <v>10</v>
      </c>
      <c r="D8" s="483" t="s">
        <v>411</v>
      </c>
      <c r="E8" s="49" t="s">
        <v>11</v>
      </c>
      <c r="F8" s="475">
        <v>2750.6</v>
      </c>
      <c r="G8" s="51">
        <v>26.35</v>
      </c>
      <c r="H8" s="51">
        <v>3.51</v>
      </c>
      <c r="I8" s="51">
        <v>0.04</v>
      </c>
      <c r="J8" s="51">
        <v>6.38</v>
      </c>
      <c r="K8" s="51">
        <v>2.49</v>
      </c>
      <c r="L8" s="52">
        <v>2.42</v>
      </c>
      <c r="M8" s="51">
        <v>1.27</v>
      </c>
      <c r="N8" s="51">
        <v>0.94</v>
      </c>
      <c r="O8" s="51">
        <v>3.27</v>
      </c>
      <c r="P8" s="51">
        <v>0</v>
      </c>
      <c r="Q8" s="51">
        <v>0</v>
      </c>
      <c r="R8" s="51">
        <v>3.13</v>
      </c>
      <c r="S8" s="51">
        <v>0</v>
      </c>
      <c r="T8" s="51">
        <v>0</v>
      </c>
      <c r="U8" s="51">
        <v>0.31</v>
      </c>
      <c r="V8" s="51">
        <v>0.1</v>
      </c>
      <c r="W8" s="51">
        <v>0.03</v>
      </c>
      <c r="X8" s="51">
        <v>2.46</v>
      </c>
      <c r="Y8" s="26" t="s">
        <v>1195</v>
      </c>
    </row>
    <row r="9" spans="2:25" ht="16.5" customHeight="1">
      <c r="B9" s="24">
        <v>2</v>
      </c>
      <c r="C9" s="484"/>
      <c r="D9" s="484"/>
      <c r="E9" s="49" t="s">
        <v>12</v>
      </c>
      <c r="F9" s="475">
        <v>3447.6</v>
      </c>
      <c r="G9" s="51">
        <v>26.35</v>
      </c>
      <c r="H9" s="51">
        <v>3.51</v>
      </c>
      <c r="I9" s="51">
        <v>0.04</v>
      </c>
      <c r="J9" s="51">
        <v>6.38</v>
      </c>
      <c r="K9" s="51">
        <v>2.49</v>
      </c>
      <c r="L9" s="52">
        <v>2.42</v>
      </c>
      <c r="M9" s="51">
        <v>1.27</v>
      </c>
      <c r="N9" s="51">
        <v>0.94</v>
      </c>
      <c r="O9" s="51">
        <v>3.27</v>
      </c>
      <c r="P9" s="51">
        <v>0</v>
      </c>
      <c r="Q9" s="51">
        <v>0</v>
      </c>
      <c r="R9" s="51">
        <v>3.13</v>
      </c>
      <c r="S9" s="51">
        <v>0</v>
      </c>
      <c r="T9" s="51">
        <v>0</v>
      </c>
      <c r="U9" s="51">
        <v>0.31</v>
      </c>
      <c r="V9" s="51">
        <v>0.1</v>
      </c>
      <c r="W9" s="51">
        <v>0.03</v>
      </c>
      <c r="X9" s="51">
        <v>2.46</v>
      </c>
      <c r="Y9" s="26" t="s">
        <v>1195</v>
      </c>
    </row>
    <row r="10" spans="2:25" ht="15.75" customHeight="1">
      <c r="B10" s="24">
        <v>3</v>
      </c>
      <c r="C10" s="484"/>
      <c r="D10" s="484"/>
      <c r="E10" s="49" t="s">
        <v>13</v>
      </c>
      <c r="F10" s="475">
        <v>3091.6</v>
      </c>
      <c r="G10" s="51">
        <v>26.35</v>
      </c>
      <c r="H10" s="51">
        <v>3.51</v>
      </c>
      <c r="I10" s="51">
        <v>0.04</v>
      </c>
      <c r="J10" s="51">
        <v>6.38</v>
      </c>
      <c r="K10" s="51">
        <v>2.49</v>
      </c>
      <c r="L10" s="52">
        <v>2.42</v>
      </c>
      <c r="M10" s="51">
        <v>1.27</v>
      </c>
      <c r="N10" s="51">
        <v>0.94</v>
      </c>
      <c r="O10" s="51">
        <v>3.27</v>
      </c>
      <c r="P10" s="51">
        <v>0</v>
      </c>
      <c r="Q10" s="51">
        <v>0</v>
      </c>
      <c r="R10" s="51">
        <v>3.13</v>
      </c>
      <c r="S10" s="51">
        <v>0</v>
      </c>
      <c r="T10" s="51">
        <v>0</v>
      </c>
      <c r="U10" s="51">
        <v>0.31</v>
      </c>
      <c r="V10" s="51">
        <v>0.1</v>
      </c>
      <c r="W10" s="51">
        <v>0.03</v>
      </c>
      <c r="X10" s="51">
        <v>2.46</v>
      </c>
      <c r="Y10" s="26" t="s">
        <v>1195</v>
      </c>
    </row>
    <row r="11" spans="2:25" ht="15" customHeight="1">
      <c r="B11" s="24">
        <v>4</v>
      </c>
      <c r="C11" s="484"/>
      <c r="D11" s="484"/>
      <c r="E11" s="49" t="s">
        <v>14</v>
      </c>
      <c r="F11" s="475">
        <v>2287.5</v>
      </c>
      <c r="G11" s="51">
        <v>26.35</v>
      </c>
      <c r="H11" s="51">
        <v>3.51</v>
      </c>
      <c r="I11" s="51">
        <v>0.04</v>
      </c>
      <c r="J11" s="51">
        <v>6.38</v>
      </c>
      <c r="K11" s="51">
        <v>2.49</v>
      </c>
      <c r="L11" s="52">
        <v>2.42</v>
      </c>
      <c r="M11" s="51">
        <v>1.27</v>
      </c>
      <c r="N11" s="51">
        <v>0.94</v>
      </c>
      <c r="O11" s="51">
        <v>3.27</v>
      </c>
      <c r="P11" s="51">
        <v>0</v>
      </c>
      <c r="Q11" s="51">
        <v>0</v>
      </c>
      <c r="R11" s="51">
        <v>3.13</v>
      </c>
      <c r="S11" s="51">
        <v>0</v>
      </c>
      <c r="T11" s="51">
        <v>0</v>
      </c>
      <c r="U11" s="51">
        <v>0.31</v>
      </c>
      <c r="V11" s="51">
        <v>0.1</v>
      </c>
      <c r="W11" s="51">
        <v>0.03</v>
      </c>
      <c r="X11" s="51">
        <v>2.46</v>
      </c>
      <c r="Y11" s="26" t="s">
        <v>1195</v>
      </c>
    </row>
    <row r="12" spans="2:25" ht="15.75" customHeight="1">
      <c r="B12" s="24">
        <v>5</v>
      </c>
      <c r="C12" s="484"/>
      <c r="D12" s="484"/>
      <c r="E12" s="49" t="s">
        <v>15</v>
      </c>
      <c r="F12" s="475">
        <v>2226.1</v>
      </c>
      <c r="G12" s="51">
        <v>26.35</v>
      </c>
      <c r="H12" s="51">
        <v>3.51</v>
      </c>
      <c r="I12" s="51">
        <v>0.04</v>
      </c>
      <c r="J12" s="51">
        <v>6.38</v>
      </c>
      <c r="K12" s="51">
        <v>2.49</v>
      </c>
      <c r="L12" s="52">
        <v>2.42</v>
      </c>
      <c r="M12" s="51">
        <v>1.27</v>
      </c>
      <c r="N12" s="51">
        <v>0.94</v>
      </c>
      <c r="O12" s="51">
        <v>3.27</v>
      </c>
      <c r="P12" s="51">
        <v>0</v>
      </c>
      <c r="Q12" s="51">
        <v>0</v>
      </c>
      <c r="R12" s="51">
        <v>3.13</v>
      </c>
      <c r="S12" s="51">
        <v>0</v>
      </c>
      <c r="T12" s="51">
        <v>0</v>
      </c>
      <c r="U12" s="51">
        <v>0.31</v>
      </c>
      <c r="V12" s="51">
        <v>0.1</v>
      </c>
      <c r="W12" s="51">
        <v>0.03</v>
      </c>
      <c r="X12" s="51">
        <v>2.46</v>
      </c>
      <c r="Y12" s="26" t="s">
        <v>1195</v>
      </c>
    </row>
    <row r="13" spans="2:25" ht="17.25" customHeight="1">
      <c r="B13" s="24">
        <v>6</v>
      </c>
      <c r="C13" s="484"/>
      <c r="D13" s="484"/>
      <c r="E13" s="49" t="s">
        <v>16</v>
      </c>
      <c r="F13" s="475">
        <v>2098.1</v>
      </c>
      <c r="G13" s="51">
        <v>26.35</v>
      </c>
      <c r="H13" s="51">
        <v>3.51</v>
      </c>
      <c r="I13" s="51">
        <v>0.04</v>
      </c>
      <c r="J13" s="51">
        <v>6.38</v>
      </c>
      <c r="K13" s="51">
        <v>2.49</v>
      </c>
      <c r="L13" s="52">
        <v>2.42</v>
      </c>
      <c r="M13" s="51">
        <v>1.27</v>
      </c>
      <c r="N13" s="51">
        <v>0.94</v>
      </c>
      <c r="O13" s="51">
        <v>3.27</v>
      </c>
      <c r="P13" s="51">
        <v>0</v>
      </c>
      <c r="Q13" s="51">
        <v>0</v>
      </c>
      <c r="R13" s="51">
        <v>3.13</v>
      </c>
      <c r="S13" s="51">
        <v>0</v>
      </c>
      <c r="T13" s="51">
        <v>0</v>
      </c>
      <c r="U13" s="51">
        <v>0.31</v>
      </c>
      <c r="V13" s="51">
        <v>0.1</v>
      </c>
      <c r="W13" s="51">
        <v>0.03</v>
      </c>
      <c r="X13" s="51">
        <v>2.46</v>
      </c>
      <c r="Y13" s="26" t="s">
        <v>1195</v>
      </c>
    </row>
    <row r="14" spans="2:25" ht="15.75" customHeight="1">
      <c r="B14" s="24">
        <v>7</v>
      </c>
      <c r="C14" s="484"/>
      <c r="D14" s="484"/>
      <c r="E14" s="49" t="s">
        <v>17</v>
      </c>
      <c r="F14" s="475">
        <v>3461.7</v>
      </c>
      <c r="G14" s="51">
        <v>26.35</v>
      </c>
      <c r="H14" s="51">
        <v>3.51</v>
      </c>
      <c r="I14" s="51">
        <v>0.04</v>
      </c>
      <c r="J14" s="51">
        <v>6.38</v>
      </c>
      <c r="K14" s="51">
        <v>2.49</v>
      </c>
      <c r="L14" s="52">
        <v>2.42</v>
      </c>
      <c r="M14" s="51">
        <v>1.27</v>
      </c>
      <c r="N14" s="51">
        <v>0.94</v>
      </c>
      <c r="O14" s="51">
        <v>3.27</v>
      </c>
      <c r="P14" s="51">
        <v>0</v>
      </c>
      <c r="Q14" s="51">
        <v>0</v>
      </c>
      <c r="R14" s="51">
        <v>3.13</v>
      </c>
      <c r="S14" s="51">
        <v>0</v>
      </c>
      <c r="T14" s="51">
        <v>0</v>
      </c>
      <c r="U14" s="51">
        <v>0.31</v>
      </c>
      <c r="V14" s="51">
        <v>0.1</v>
      </c>
      <c r="W14" s="51">
        <v>0.03</v>
      </c>
      <c r="X14" s="51">
        <v>2.46</v>
      </c>
      <c r="Y14" s="26" t="s">
        <v>1195</v>
      </c>
    </row>
    <row r="15" spans="2:25" ht="15.75" customHeight="1">
      <c r="B15" s="24">
        <v>8</v>
      </c>
      <c r="C15" s="484"/>
      <c r="D15" s="484"/>
      <c r="E15" s="49" t="s">
        <v>18</v>
      </c>
      <c r="F15" s="475">
        <v>2064</v>
      </c>
      <c r="G15" s="51">
        <v>26.35</v>
      </c>
      <c r="H15" s="51">
        <v>3.51</v>
      </c>
      <c r="I15" s="51">
        <v>0.04</v>
      </c>
      <c r="J15" s="51">
        <v>6.38</v>
      </c>
      <c r="K15" s="51">
        <v>2.49</v>
      </c>
      <c r="L15" s="52">
        <v>2.42</v>
      </c>
      <c r="M15" s="51">
        <v>1.27</v>
      </c>
      <c r="N15" s="51">
        <v>0.94</v>
      </c>
      <c r="O15" s="51">
        <v>3.27</v>
      </c>
      <c r="P15" s="51">
        <v>0</v>
      </c>
      <c r="Q15" s="51">
        <v>0</v>
      </c>
      <c r="R15" s="51">
        <v>3.13</v>
      </c>
      <c r="S15" s="51">
        <v>0</v>
      </c>
      <c r="T15" s="51">
        <v>0</v>
      </c>
      <c r="U15" s="51">
        <v>0.31</v>
      </c>
      <c r="V15" s="51">
        <v>0.1</v>
      </c>
      <c r="W15" s="51">
        <v>0.03</v>
      </c>
      <c r="X15" s="51">
        <v>2.46</v>
      </c>
      <c r="Y15" s="26" t="s">
        <v>1195</v>
      </c>
    </row>
    <row r="16" spans="2:25" ht="15.75" customHeight="1">
      <c r="B16" s="24">
        <v>9</v>
      </c>
      <c r="C16" s="484"/>
      <c r="D16" s="484"/>
      <c r="E16" s="49" t="s">
        <v>19</v>
      </c>
      <c r="F16" s="475">
        <v>2082.1</v>
      </c>
      <c r="G16" s="51">
        <v>26.35</v>
      </c>
      <c r="H16" s="51">
        <v>3.51</v>
      </c>
      <c r="I16" s="51">
        <v>0.04</v>
      </c>
      <c r="J16" s="51">
        <v>6.38</v>
      </c>
      <c r="K16" s="51">
        <v>2.49</v>
      </c>
      <c r="L16" s="52">
        <v>2.42</v>
      </c>
      <c r="M16" s="51">
        <v>1.27</v>
      </c>
      <c r="N16" s="51">
        <v>0.94</v>
      </c>
      <c r="O16" s="51">
        <v>3.27</v>
      </c>
      <c r="P16" s="51">
        <v>0</v>
      </c>
      <c r="Q16" s="51">
        <v>0</v>
      </c>
      <c r="R16" s="51">
        <v>3.13</v>
      </c>
      <c r="S16" s="51">
        <v>0</v>
      </c>
      <c r="T16" s="51">
        <v>0</v>
      </c>
      <c r="U16" s="51">
        <v>0.31</v>
      </c>
      <c r="V16" s="51">
        <v>0.1</v>
      </c>
      <c r="W16" s="51">
        <v>0.03</v>
      </c>
      <c r="X16" s="51">
        <v>2.46</v>
      </c>
      <c r="Y16" s="26" t="s">
        <v>1195</v>
      </c>
    </row>
    <row r="17" spans="2:25" ht="16.5" customHeight="1">
      <c r="B17" s="24">
        <v>10</v>
      </c>
      <c r="C17" s="484"/>
      <c r="D17" s="484"/>
      <c r="E17" s="49" t="s">
        <v>20</v>
      </c>
      <c r="F17" s="475">
        <v>3417.5</v>
      </c>
      <c r="G17" s="51">
        <v>27.06</v>
      </c>
      <c r="H17" s="51">
        <v>3.51</v>
      </c>
      <c r="I17" s="51">
        <v>0.04</v>
      </c>
      <c r="J17" s="51">
        <v>5.6</v>
      </c>
      <c r="K17" s="51">
        <v>2.36</v>
      </c>
      <c r="L17" s="52">
        <v>2.33</v>
      </c>
      <c r="M17" s="51">
        <v>2.28</v>
      </c>
      <c r="N17" s="51">
        <v>1.36</v>
      </c>
      <c r="O17" s="51">
        <v>3.87</v>
      </c>
      <c r="P17" s="51">
        <v>0</v>
      </c>
      <c r="Q17" s="51">
        <v>0</v>
      </c>
      <c r="R17" s="51">
        <v>3</v>
      </c>
      <c r="S17" s="51">
        <v>0</v>
      </c>
      <c r="T17" s="51">
        <v>0</v>
      </c>
      <c r="U17" s="51">
        <v>0.12</v>
      </c>
      <c r="V17" s="51">
        <v>0.1</v>
      </c>
      <c r="W17" s="51">
        <v>0.03</v>
      </c>
      <c r="X17" s="51">
        <v>2.46</v>
      </c>
      <c r="Y17" s="26" t="s">
        <v>1195</v>
      </c>
    </row>
    <row r="18" spans="2:25" ht="15" customHeight="1">
      <c r="B18" s="24">
        <v>11</v>
      </c>
      <c r="C18" s="484"/>
      <c r="D18" s="484"/>
      <c r="E18" s="49" t="s">
        <v>21</v>
      </c>
      <c r="F18" s="475">
        <v>3397.6</v>
      </c>
      <c r="G18" s="51">
        <v>27.06</v>
      </c>
      <c r="H18" s="51">
        <v>3.51</v>
      </c>
      <c r="I18" s="51">
        <v>0.04</v>
      </c>
      <c r="J18" s="51">
        <v>5.6</v>
      </c>
      <c r="K18" s="51">
        <v>2.36</v>
      </c>
      <c r="L18" s="52">
        <v>2.33</v>
      </c>
      <c r="M18" s="51">
        <v>2.28</v>
      </c>
      <c r="N18" s="51">
        <v>1.36</v>
      </c>
      <c r="O18" s="51">
        <v>3.87</v>
      </c>
      <c r="P18" s="51">
        <v>0</v>
      </c>
      <c r="Q18" s="51">
        <v>0</v>
      </c>
      <c r="R18" s="51">
        <v>3</v>
      </c>
      <c r="S18" s="51">
        <v>0</v>
      </c>
      <c r="T18" s="51">
        <v>0</v>
      </c>
      <c r="U18" s="51">
        <v>0.12</v>
      </c>
      <c r="V18" s="51">
        <v>0.1</v>
      </c>
      <c r="W18" s="51">
        <v>0.03</v>
      </c>
      <c r="X18" s="51">
        <v>2.46</v>
      </c>
      <c r="Y18" s="26" t="s">
        <v>1195</v>
      </c>
    </row>
    <row r="19" spans="2:25" ht="16.5" customHeight="1">
      <c r="B19" s="24">
        <v>12</v>
      </c>
      <c r="C19" s="484"/>
      <c r="D19" s="484"/>
      <c r="E19" s="49" t="s">
        <v>22</v>
      </c>
      <c r="F19" s="475">
        <v>2195.7</v>
      </c>
      <c r="G19" s="51">
        <v>26.35</v>
      </c>
      <c r="H19" s="51">
        <v>3.51</v>
      </c>
      <c r="I19" s="51">
        <v>0.04</v>
      </c>
      <c r="J19" s="51">
        <v>6.38</v>
      </c>
      <c r="K19" s="51">
        <v>2.49</v>
      </c>
      <c r="L19" s="52">
        <v>2.42</v>
      </c>
      <c r="M19" s="51">
        <v>1.27</v>
      </c>
      <c r="N19" s="51">
        <v>0.94</v>
      </c>
      <c r="O19" s="51">
        <v>3.27</v>
      </c>
      <c r="P19" s="51">
        <v>0</v>
      </c>
      <c r="Q19" s="51">
        <v>0</v>
      </c>
      <c r="R19" s="51">
        <v>3.13</v>
      </c>
      <c r="S19" s="51">
        <v>0</v>
      </c>
      <c r="T19" s="51">
        <v>0</v>
      </c>
      <c r="U19" s="51">
        <v>0.31</v>
      </c>
      <c r="V19" s="51">
        <v>0.1</v>
      </c>
      <c r="W19" s="51">
        <v>0.03</v>
      </c>
      <c r="X19" s="51">
        <v>2.46</v>
      </c>
      <c r="Y19" s="26" t="s">
        <v>1195</v>
      </c>
    </row>
    <row r="20" spans="2:25" ht="16.5" customHeight="1">
      <c r="B20" s="24">
        <v>13</v>
      </c>
      <c r="C20" s="484"/>
      <c r="D20" s="484"/>
      <c r="E20" s="49" t="s">
        <v>23</v>
      </c>
      <c r="F20" s="475">
        <v>2054.3</v>
      </c>
      <c r="G20" s="51">
        <v>27.06</v>
      </c>
      <c r="H20" s="51">
        <v>3.51</v>
      </c>
      <c r="I20" s="51">
        <v>0.04</v>
      </c>
      <c r="J20" s="51">
        <v>5.6</v>
      </c>
      <c r="K20" s="51">
        <v>2.36</v>
      </c>
      <c r="L20" s="52">
        <v>2.33</v>
      </c>
      <c r="M20" s="51">
        <v>2.28</v>
      </c>
      <c r="N20" s="51">
        <v>1.36</v>
      </c>
      <c r="O20" s="51">
        <v>3.87</v>
      </c>
      <c r="P20" s="51">
        <v>0</v>
      </c>
      <c r="Q20" s="51">
        <v>0</v>
      </c>
      <c r="R20" s="51">
        <v>3</v>
      </c>
      <c r="S20" s="51">
        <v>0</v>
      </c>
      <c r="T20" s="51">
        <v>0</v>
      </c>
      <c r="U20" s="51">
        <v>0.12</v>
      </c>
      <c r="V20" s="51">
        <v>0.1</v>
      </c>
      <c r="W20" s="51">
        <v>0.03</v>
      </c>
      <c r="X20" s="51">
        <v>2.46</v>
      </c>
      <c r="Y20" s="26" t="s">
        <v>1195</v>
      </c>
    </row>
    <row r="21" spans="2:25" ht="16.5" customHeight="1">
      <c r="B21" s="24">
        <v>14</v>
      </c>
      <c r="C21" s="484"/>
      <c r="D21" s="484"/>
      <c r="E21" s="49" t="s">
        <v>24</v>
      </c>
      <c r="F21" s="475">
        <v>3465.7</v>
      </c>
      <c r="G21" s="51">
        <v>26.35</v>
      </c>
      <c r="H21" s="51">
        <v>3.51</v>
      </c>
      <c r="I21" s="51">
        <v>0.04</v>
      </c>
      <c r="J21" s="51">
        <v>6.38</v>
      </c>
      <c r="K21" s="51">
        <v>2.49</v>
      </c>
      <c r="L21" s="52">
        <v>2.42</v>
      </c>
      <c r="M21" s="51">
        <v>1.27</v>
      </c>
      <c r="N21" s="51">
        <v>0.94</v>
      </c>
      <c r="O21" s="51">
        <v>3.27</v>
      </c>
      <c r="P21" s="51">
        <v>0</v>
      </c>
      <c r="Q21" s="51">
        <v>0</v>
      </c>
      <c r="R21" s="51">
        <v>3.13</v>
      </c>
      <c r="S21" s="51">
        <v>0</v>
      </c>
      <c r="T21" s="51">
        <v>0</v>
      </c>
      <c r="U21" s="51">
        <v>0.31</v>
      </c>
      <c r="V21" s="51">
        <v>0.1</v>
      </c>
      <c r="W21" s="51">
        <v>0.03</v>
      </c>
      <c r="X21" s="51">
        <v>2.46</v>
      </c>
      <c r="Y21" s="26" t="s">
        <v>1195</v>
      </c>
    </row>
    <row r="22" spans="2:25" ht="15.75" customHeight="1">
      <c r="B22" s="24">
        <v>15</v>
      </c>
      <c r="C22" s="484"/>
      <c r="D22" s="484"/>
      <c r="E22" s="49" t="s">
        <v>25</v>
      </c>
      <c r="F22" s="475">
        <v>3422.1</v>
      </c>
      <c r="G22" s="51">
        <v>27.06</v>
      </c>
      <c r="H22" s="51">
        <v>3.51</v>
      </c>
      <c r="I22" s="51">
        <v>0.04</v>
      </c>
      <c r="J22" s="51">
        <v>5.6</v>
      </c>
      <c r="K22" s="51">
        <v>2.36</v>
      </c>
      <c r="L22" s="52">
        <v>2.33</v>
      </c>
      <c r="M22" s="51">
        <v>2.28</v>
      </c>
      <c r="N22" s="51">
        <v>1.36</v>
      </c>
      <c r="O22" s="51">
        <v>3.87</v>
      </c>
      <c r="P22" s="51">
        <v>0</v>
      </c>
      <c r="Q22" s="51">
        <v>0</v>
      </c>
      <c r="R22" s="51">
        <v>3</v>
      </c>
      <c r="S22" s="51">
        <v>0</v>
      </c>
      <c r="T22" s="51">
        <v>0</v>
      </c>
      <c r="U22" s="51">
        <v>0.12</v>
      </c>
      <c r="V22" s="51">
        <v>0.1</v>
      </c>
      <c r="W22" s="51">
        <v>0.03</v>
      </c>
      <c r="X22" s="51">
        <v>2.46</v>
      </c>
      <c r="Y22" s="26" t="s">
        <v>1195</v>
      </c>
    </row>
    <row r="23" spans="2:25" ht="15.75" customHeight="1">
      <c r="B23" s="24">
        <v>16</v>
      </c>
      <c r="C23" s="484"/>
      <c r="D23" s="484"/>
      <c r="E23" s="49" t="s">
        <v>26</v>
      </c>
      <c r="F23" s="475">
        <v>3485.7</v>
      </c>
      <c r="G23" s="51">
        <v>26.35</v>
      </c>
      <c r="H23" s="51">
        <v>3.51</v>
      </c>
      <c r="I23" s="51">
        <v>0.04</v>
      </c>
      <c r="J23" s="51">
        <v>6.38</v>
      </c>
      <c r="K23" s="51">
        <v>2.49</v>
      </c>
      <c r="L23" s="52">
        <v>2.42</v>
      </c>
      <c r="M23" s="51">
        <v>1.27</v>
      </c>
      <c r="N23" s="51">
        <v>0.94</v>
      </c>
      <c r="O23" s="51">
        <v>3.27</v>
      </c>
      <c r="P23" s="51">
        <v>0</v>
      </c>
      <c r="Q23" s="51">
        <v>0</v>
      </c>
      <c r="R23" s="51">
        <v>3.13</v>
      </c>
      <c r="S23" s="51">
        <v>0</v>
      </c>
      <c r="T23" s="51">
        <v>0</v>
      </c>
      <c r="U23" s="51">
        <v>0.31</v>
      </c>
      <c r="V23" s="51">
        <v>0.1</v>
      </c>
      <c r="W23" s="51">
        <v>0.03</v>
      </c>
      <c r="X23" s="51">
        <v>2.46</v>
      </c>
      <c r="Y23" s="26" t="s">
        <v>1195</v>
      </c>
    </row>
    <row r="24" spans="2:25" ht="15.75" customHeight="1">
      <c r="B24" s="24">
        <v>17</v>
      </c>
      <c r="C24" s="484"/>
      <c r="D24" s="484"/>
      <c r="E24" s="49" t="s">
        <v>27</v>
      </c>
      <c r="F24" s="475">
        <v>725.9</v>
      </c>
      <c r="G24" s="51">
        <v>27.06</v>
      </c>
      <c r="H24" s="51">
        <v>3.51</v>
      </c>
      <c r="I24" s="51">
        <v>0.04</v>
      </c>
      <c r="J24" s="51">
        <v>5.6</v>
      </c>
      <c r="K24" s="51">
        <v>2.36</v>
      </c>
      <c r="L24" s="52">
        <v>2.33</v>
      </c>
      <c r="M24" s="51">
        <v>2.28</v>
      </c>
      <c r="N24" s="51">
        <v>1.36</v>
      </c>
      <c r="O24" s="51">
        <v>3.87</v>
      </c>
      <c r="P24" s="51">
        <v>0</v>
      </c>
      <c r="Q24" s="51">
        <v>0</v>
      </c>
      <c r="R24" s="51">
        <v>3</v>
      </c>
      <c r="S24" s="51">
        <v>0</v>
      </c>
      <c r="T24" s="51">
        <v>0</v>
      </c>
      <c r="U24" s="51">
        <v>0.12</v>
      </c>
      <c r="V24" s="51">
        <v>0.1</v>
      </c>
      <c r="W24" s="51">
        <v>0.03</v>
      </c>
      <c r="X24" s="51">
        <v>2.46</v>
      </c>
      <c r="Y24" s="26" t="s">
        <v>1195</v>
      </c>
    </row>
    <row r="25" spans="2:25" ht="16.5" customHeight="1">
      <c r="B25" s="24">
        <v>18</v>
      </c>
      <c r="C25" s="484"/>
      <c r="D25" s="484"/>
      <c r="E25" s="49" t="s">
        <v>28</v>
      </c>
      <c r="F25" s="475">
        <v>3439.4</v>
      </c>
      <c r="G25" s="51">
        <v>27.06</v>
      </c>
      <c r="H25" s="51">
        <v>3.51</v>
      </c>
      <c r="I25" s="51">
        <v>0.04</v>
      </c>
      <c r="J25" s="51">
        <v>5.6</v>
      </c>
      <c r="K25" s="51">
        <v>2.36</v>
      </c>
      <c r="L25" s="52">
        <v>2.33</v>
      </c>
      <c r="M25" s="51">
        <v>2.28</v>
      </c>
      <c r="N25" s="51">
        <v>1.36</v>
      </c>
      <c r="O25" s="51">
        <v>3.87</v>
      </c>
      <c r="P25" s="51">
        <v>0</v>
      </c>
      <c r="Q25" s="51">
        <v>0</v>
      </c>
      <c r="R25" s="51">
        <v>3</v>
      </c>
      <c r="S25" s="51">
        <v>0</v>
      </c>
      <c r="T25" s="51">
        <v>0</v>
      </c>
      <c r="U25" s="51">
        <v>0.12</v>
      </c>
      <c r="V25" s="51">
        <v>0.1</v>
      </c>
      <c r="W25" s="51">
        <v>0.03</v>
      </c>
      <c r="X25" s="51">
        <v>2.46</v>
      </c>
      <c r="Y25" s="26" t="s">
        <v>1195</v>
      </c>
    </row>
    <row r="26" spans="2:25" ht="16.5" customHeight="1">
      <c r="B26" s="24">
        <v>19</v>
      </c>
      <c r="C26" s="484"/>
      <c r="D26" s="484"/>
      <c r="E26" s="49" t="s">
        <v>29</v>
      </c>
      <c r="F26" s="476">
        <v>2067.4</v>
      </c>
      <c r="G26" s="51">
        <v>27.06</v>
      </c>
      <c r="H26" s="51">
        <v>3.51</v>
      </c>
      <c r="I26" s="51">
        <v>0.04</v>
      </c>
      <c r="J26" s="51">
        <v>5.6</v>
      </c>
      <c r="K26" s="51">
        <v>2.36</v>
      </c>
      <c r="L26" s="52">
        <v>2.33</v>
      </c>
      <c r="M26" s="51">
        <v>2.28</v>
      </c>
      <c r="N26" s="51">
        <v>1.36</v>
      </c>
      <c r="O26" s="51">
        <v>3.87</v>
      </c>
      <c r="P26" s="51">
        <v>0</v>
      </c>
      <c r="Q26" s="51">
        <v>0</v>
      </c>
      <c r="R26" s="51">
        <v>3</v>
      </c>
      <c r="S26" s="51">
        <v>0</v>
      </c>
      <c r="T26" s="51">
        <v>0</v>
      </c>
      <c r="U26" s="51">
        <v>0.12</v>
      </c>
      <c r="V26" s="51">
        <v>0.1</v>
      </c>
      <c r="W26" s="51">
        <v>0.03</v>
      </c>
      <c r="X26" s="51">
        <v>2.46</v>
      </c>
      <c r="Y26" s="26" t="s">
        <v>1195</v>
      </c>
    </row>
    <row r="27" spans="2:25" ht="18" customHeight="1">
      <c r="B27" s="24">
        <v>20</v>
      </c>
      <c r="C27" s="484"/>
      <c r="D27" s="484"/>
      <c r="E27" s="49" t="s">
        <v>30</v>
      </c>
      <c r="F27" s="476">
        <v>2105.5</v>
      </c>
      <c r="G27" s="51">
        <v>27.06</v>
      </c>
      <c r="H27" s="51">
        <v>3.51</v>
      </c>
      <c r="I27" s="51">
        <v>0.04</v>
      </c>
      <c r="J27" s="51">
        <v>5.6</v>
      </c>
      <c r="K27" s="51">
        <v>2.36</v>
      </c>
      <c r="L27" s="52">
        <v>2.33</v>
      </c>
      <c r="M27" s="51">
        <v>2.28</v>
      </c>
      <c r="N27" s="51">
        <v>1.36</v>
      </c>
      <c r="O27" s="51">
        <v>3.87</v>
      </c>
      <c r="P27" s="51">
        <v>0</v>
      </c>
      <c r="Q27" s="51">
        <v>0</v>
      </c>
      <c r="R27" s="51">
        <v>3</v>
      </c>
      <c r="S27" s="51">
        <v>0</v>
      </c>
      <c r="T27" s="51">
        <v>0</v>
      </c>
      <c r="U27" s="51">
        <v>0.12</v>
      </c>
      <c r="V27" s="51">
        <v>0.1</v>
      </c>
      <c r="W27" s="51">
        <v>0.03</v>
      </c>
      <c r="X27" s="51">
        <v>2.46</v>
      </c>
      <c r="Y27" s="26" t="s">
        <v>1195</v>
      </c>
    </row>
    <row r="28" spans="2:25" ht="18" customHeight="1">
      <c r="B28" s="24">
        <v>21</v>
      </c>
      <c r="C28" s="484"/>
      <c r="D28" s="484"/>
      <c r="E28" s="49" t="s">
        <v>31</v>
      </c>
      <c r="F28" s="476">
        <v>3458.5</v>
      </c>
      <c r="G28" s="51">
        <v>27.06</v>
      </c>
      <c r="H28" s="51">
        <v>3.51</v>
      </c>
      <c r="I28" s="51">
        <v>0.04</v>
      </c>
      <c r="J28" s="51">
        <v>5.6</v>
      </c>
      <c r="K28" s="51">
        <v>2.36</v>
      </c>
      <c r="L28" s="52">
        <v>2.33</v>
      </c>
      <c r="M28" s="51">
        <v>2.28</v>
      </c>
      <c r="N28" s="51">
        <v>1.36</v>
      </c>
      <c r="O28" s="51">
        <v>3.87</v>
      </c>
      <c r="P28" s="51">
        <v>0</v>
      </c>
      <c r="Q28" s="51">
        <v>0</v>
      </c>
      <c r="R28" s="51">
        <v>3</v>
      </c>
      <c r="S28" s="51">
        <v>0</v>
      </c>
      <c r="T28" s="51">
        <v>0</v>
      </c>
      <c r="U28" s="51">
        <v>0.12</v>
      </c>
      <c r="V28" s="51">
        <v>0.1</v>
      </c>
      <c r="W28" s="51">
        <v>0.03</v>
      </c>
      <c r="X28" s="51">
        <v>2.46</v>
      </c>
      <c r="Y28" s="26" t="s">
        <v>1195</v>
      </c>
    </row>
    <row r="29" spans="2:25" ht="16.5" customHeight="1">
      <c r="B29" s="24">
        <v>22</v>
      </c>
      <c r="C29" s="484"/>
      <c r="D29" s="484"/>
      <c r="E29" s="49" t="s">
        <v>32</v>
      </c>
      <c r="F29" s="476">
        <v>2096.2</v>
      </c>
      <c r="G29" s="51">
        <v>27.06</v>
      </c>
      <c r="H29" s="51">
        <v>3.51</v>
      </c>
      <c r="I29" s="51">
        <v>0.04</v>
      </c>
      <c r="J29" s="51">
        <v>5.6</v>
      </c>
      <c r="K29" s="51">
        <v>2.36</v>
      </c>
      <c r="L29" s="52">
        <v>2.33</v>
      </c>
      <c r="M29" s="51">
        <v>2.28</v>
      </c>
      <c r="N29" s="51">
        <v>1.36</v>
      </c>
      <c r="O29" s="51">
        <v>3.87</v>
      </c>
      <c r="P29" s="51">
        <v>0</v>
      </c>
      <c r="Q29" s="51">
        <v>0</v>
      </c>
      <c r="R29" s="51">
        <v>3</v>
      </c>
      <c r="S29" s="51">
        <v>0</v>
      </c>
      <c r="T29" s="51">
        <v>0</v>
      </c>
      <c r="U29" s="51">
        <v>0.12</v>
      </c>
      <c r="V29" s="51">
        <v>0.1</v>
      </c>
      <c r="W29" s="51">
        <v>0.03</v>
      </c>
      <c r="X29" s="51">
        <v>2.46</v>
      </c>
      <c r="Y29" s="26" t="s">
        <v>1195</v>
      </c>
    </row>
    <row r="30" spans="2:25" ht="16.5" customHeight="1">
      <c r="B30" s="24">
        <v>23</v>
      </c>
      <c r="C30" s="484"/>
      <c r="D30" s="484"/>
      <c r="E30" s="49" t="s">
        <v>33</v>
      </c>
      <c r="F30" s="476">
        <v>722.4</v>
      </c>
      <c r="G30" s="51">
        <v>27.06</v>
      </c>
      <c r="H30" s="51">
        <v>3.51</v>
      </c>
      <c r="I30" s="51">
        <v>0.04</v>
      </c>
      <c r="J30" s="51">
        <v>5.6</v>
      </c>
      <c r="K30" s="51">
        <v>2.36</v>
      </c>
      <c r="L30" s="52">
        <v>2.33</v>
      </c>
      <c r="M30" s="51">
        <v>2.28</v>
      </c>
      <c r="N30" s="51">
        <v>1.36</v>
      </c>
      <c r="O30" s="51">
        <v>3.87</v>
      </c>
      <c r="P30" s="51">
        <v>0</v>
      </c>
      <c r="Q30" s="51">
        <v>0</v>
      </c>
      <c r="R30" s="51">
        <v>3</v>
      </c>
      <c r="S30" s="51">
        <v>0</v>
      </c>
      <c r="T30" s="51">
        <v>0</v>
      </c>
      <c r="U30" s="51">
        <v>0.12</v>
      </c>
      <c r="V30" s="51">
        <v>0.1</v>
      </c>
      <c r="W30" s="51">
        <v>0.03</v>
      </c>
      <c r="X30" s="51">
        <v>2.46</v>
      </c>
      <c r="Y30" s="26" t="s">
        <v>1195</v>
      </c>
    </row>
    <row r="31" spans="2:25" ht="15" customHeight="1">
      <c r="B31" s="24">
        <v>24</v>
      </c>
      <c r="C31" s="484"/>
      <c r="D31" s="484"/>
      <c r="E31" s="49" t="s">
        <v>34</v>
      </c>
      <c r="F31" s="476">
        <v>1379.2</v>
      </c>
      <c r="G31" s="51">
        <v>27.06</v>
      </c>
      <c r="H31" s="51">
        <v>3.51</v>
      </c>
      <c r="I31" s="51">
        <v>0.04</v>
      </c>
      <c r="J31" s="51">
        <v>5.6</v>
      </c>
      <c r="K31" s="51">
        <v>2.36</v>
      </c>
      <c r="L31" s="52">
        <v>2.33</v>
      </c>
      <c r="M31" s="51">
        <v>2.28</v>
      </c>
      <c r="N31" s="51">
        <v>1.36</v>
      </c>
      <c r="O31" s="51">
        <v>3.87</v>
      </c>
      <c r="P31" s="51">
        <v>0</v>
      </c>
      <c r="Q31" s="51">
        <v>0</v>
      </c>
      <c r="R31" s="51">
        <v>3</v>
      </c>
      <c r="S31" s="51">
        <v>0</v>
      </c>
      <c r="T31" s="51">
        <v>0</v>
      </c>
      <c r="U31" s="51">
        <v>0.12</v>
      </c>
      <c r="V31" s="51">
        <v>0.1</v>
      </c>
      <c r="W31" s="51">
        <v>0.03</v>
      </c>
      <c r="X31" s="51">
        <v>2.46</v>
      </c>
      <c r="Y31" s="26" t="s">
        <v>1195</v>
      </c>
    </row>
    <row r="32" spans="2:25" ht="18" customHeight="1">
      <c r="B32" s="24">
        <v>25</v>
      </c>
      <c r="C32" s="484"/>
      <c r="D32" s="484"/>
      <c r="E32" s="49" t="s">
        <v>35</v>
      </c>
      <c r="F32" s="50">
        <v>2075.1</v>
      </c>
      <c r="G32" s="51">
        <v>27.06</v>
      </c>
      <c r="H32" s="51">
        <v>3.51</v>
      </c>
      <c r="I32" s="51">
        <v>0.04</v>
      </c>
      <c r="J32" s="51">
        <v>5.6</v>
      </c>
      <c r="K32" s="51">
        <v>2.36</v>
      </c>
      <c r="L32" s="52">
        <v>2.33</v>
      </c>
      <c r="M32" s="51">
        <v>2.28</v>
      </c>
      <c r="N32" s="51">
        <v>1.36</v>
      </c>
      <c r="O32" s="51">
        <v>3.87</v>
      </c>
      <c r="P32" s="51">
        <v>0</v>
      </c>
      <c r="Q32" s="51">
        <v>0</v>
      </c>
      <c r="R32" s="51">
        <v>3</v>
      </c>
      <c r="S32" s="51">
        <v>0</v>
      </c>
      <c r="T32" s="51">
        <v>0</v>
      </c>
      <c r="U32" s="51">
        <v>0.12</v>
      </c>
      <c r="V32" s="51">
        <v>0.1</v>
      </c>
      <c r="W32" s="51">
        <v>0.03</v>
      </c>
      <c r="X32" s="51">
        <v>2.46</v>
      </c>
      <c r="Y32" s="26" t="s">
        <v>1195</v>
      </c>
    </row>
    <row r="33" spans="2:25" ht="15.75" customHeight="1">
      <c r="B33" s="24">
        <v>26</v>
      </c>
      <c r="C33" s="484"/>
      <c r="D33" s="484"/>
      <c r="E33" s="49" t="s">
        <v>36</v>
      </c>
      <c r="F33" s="50">
        <v>3467.9</v>
      </c>
      <c r="G33" s="51">
        <v>27.06</v>
      </c>
      <c r="H33" s="51">
        <v>3.51</v>
      </c>
      <c r="I33" s="51">
        <v>0.04</v>
      </c>
      <c r="J33" s="51">
        <v>5.6</v>
      </c>
      <c r="K33" s="51">
        <v>2.36</v>
      </c>
      <c r="L33" s="52">
        <v>2.33</v>
      </c>
      <c r="M33" s="51">
        <v>2.28</v>
      </c>
      <c r="N33" s="51">
        <v>1.36</v>
      </c>
      <c r="O33" s="51">
        <v>3.87</v>
      </c>
      <c r="P33" s="51">
        <v>0</v>
      </c>
      <c r="Q33" s="51">
        <v>0</v>
      </c>
      <c r="R33" s="51">
        <v>3</v>
      </c>
      <c r="S33" s="51">
        <v>0</v>
      </c>
      <c r="T33" s="51">
        <v>0</v>
      </c>
      <c r="U33" s="51">
        <v>0.12</v>
      </c>
      <c r="V33" s="51">
        <v>0.1</v>
      </c>
      <c r="W33" s="51">
        <v>0.03</v>
      </c>
      <c r="X33" s="51">
        <v>2.46</v>
      </c>
      <c r="Y33" s="26" t="s">
        <v>1195</v>
      </c>
    </row>
    <row r="34" spans="2:25" ht="18" customHeight="1">
      <c r="B34" s="24">
        <v>27</v>
      </c>
      <c r="C34" s="484"/>
      <c r="D34" s="484"/>
      <c r="E34" s="49" t="s">
        <v>37</v>
      </c>
      <c r="F34" s="50">
        <v>2084.4</v>
      </c>
      <c r="G34" s="51">
        <v>27.06</v>
      </c>
      <c r="H34" s="51">
        <v>3.51</v>
      </c>
      <c r="I34" s="51">
        <v>0.04</v>
      </c>
      <c r="J34" s="51">
        <v>5.6</v>
      </c>
      <c r="K34" s="51">
        <v>2.36</v>
      </c>
      <c r="L34" s="52">
        <v>2.33</v>
      </c>
      <c r="M34" s="51">
        <v>2.28</v>
      </c>
      <c r="N34" s="51">
        <v>1.36</v>
      </c>
      <c r="O34" s="51">
        <v>3.87</v>
      </c>
      <c r="P34" s="51">
        <v>0</v>
      </c>
      <c r="Q34" s="51">
        <v>0</v>
      </c>
      <c r="R34" s="51">
        <v>3</v>
      </c>
      <c r="S34" s="51">
        <v>0</v>
      </c>
      <c r="T34" s="51">
        <v>0</v>
      </c>
      <c r="U34" s="51">
        <v>0.12</v>
      </c>
      <c r="V34" s="51">
        <v>0.1</v>
      </c>
      <c r="W34" s="51">
        <v>0.03</v>
      </c>
      <c r="X34" s="51">
        <v>2.46</v>
      </c>
      <c r="Y34" s="26" t="s">
        <v>1195</v>
      </c>
    </row>
    <row r="35" spans="2:25" ht="16.5" customHeight="1">
      <c r="B35" s="24">
        <v>28</v>
      </c>
      <c r="C35" s="484"/>
      <c r="D35" s="484"/>
      <c r="E35" s="49" t="s">
        <v>413</v>
      </c>
      <c r="F35" s="50">
        <v>3463.1</v>
      </c>
      <c r="G35" s="51">
        <v>27.06</v>
      </c>
      <c r="H35" s="51">
        <v>3.51</v>
      </c>
      <c r="I35" s="51">
        <v>0.04</v>
      </c>
      <c r="J35" s="51">
        <v>5.6</v>
      </c>
      <c r="K35" s="51">
        <v>2.36</v>
      </c>
      <c r="L35" s="52">
        <v>2.33</v>
      </c>
      <c r="M35" s="51">
        <v>2.28</v>
      </c>
      <c r="N35" s="51">
        <v>1.36</v>
      </c>
      <c r="O35" s="51">
        <v>3.87</v>
      </c>
      <c r="P35" s="51">
        <v>0</v>
      </c>
      <c r="Q35" s="51">
        <v>0</v>
      </c>
      <c r="R35" s="51">
        <v>3</v>
      </c>
      <c r="S35" s="51">
        <v>0</v>
      </c>
      <c r="T35" s="51">
        <v>0</v>
      </c>
      <c r="U35" s="51">
        <v>0.12</v>
      </c>
      <c r="V35" s="51">
        <v>0.1</v>
      </c>
      <c r="W35" s="51">
        <v>0.03</v>
      </c>
      <c r="X35" s="51">
        <v>2.46</v>
      </c>
      <c r="Y35" s="26" t="s">
        <v>1195</v>
      </c>
    </row>
    <row r="36" spans="2:25" ht="18" customHeight="1">
      <c r="B36" s="24">
        <v>29</v>
      </c>
      <c r="C36" s="484"/>
      <c r="D36" s="484"/>
      <c r="E36" s="49" t="s">
        <v>414</v>
      </c>
      <c r="F36" s="50">
        <v>2842.1</v>
      </c>
      <c r="G36" s="51">
        <v>27.06</v>
      </c>
      <c r="H36" s="51">
        <v>3.51</v>
      </c>
      <c r="I36" s="51">
        <v>0.04</v>
      </c>
      <c r="J36" s="51">
        <v>5.6</v>
      </c>
      <c r="K36" s="51">
        <v>2.36</v>
      </c>
      <c r="L36" s="52">
        <v>2.33</v>
      </c>
      <c r="M36" s="51">
        <v>2.28</v>
      </c>
      <c r="N36" s="51">
        <v>1.36</v>
      </c>
      <c r="O36" s="51">
        <v>3.87</v>
      </c>
      <c r="P36" s="51">
        <v>0</v>
      </c>
      <c r="Q36" s="51">
        <v>0</v>
      </c>
      <c r="R36" s="51">
        <v>3</v>
      </c>
      <c r="S36" s="51">
        <v>0</v>
      </c>
      <c r="T36" s="51">
        <v>0</v>
      </c>
      <c r="U36" s="51">
        <v>0.12</v>
      </c>
      <c r="V36" s="51">
        <v>0.1</v>
      </c>
      <c r="W36" s="51">
        <v>0.03</v>
      </c>
      <c r="X36" s="51">
        <v>2.46</v>
      </c>
      <c r="Y36" s="26" t="s">
        <v>1195</v>
      </c>
    </row>
    <row r="37" spans="2:25" ht="18" customHeight="1">
      <c r="B37" s="24">
        <v>30</v>
      </c>
      <c r="C37" s="484"/>
      <c r="D37" s="484"/>
      <c r="E37" s="49" t="s">
        <v>415</v>
      </c>
      <c r="F37" s="50">
        <v>2522.6</v>
      </c>
      <c r="G37" s="51">
        <v>27.06</v>
      </c>
      <c r="H37" s="51">
        <v>3.51</v>
      </c>
      <c r="I37" s="51">
        <v>0.04</v>
      </c>
      <c r="J37" s="51">
        <v>5.6</v>
      </c>
      <c r="K37" s="51">
        <v>2.36</v>
      </c>
      <c r="L37" s="52">
        <v>2.33</v>
      </c>
      <c r="M37" s="51">
        <v>2.28</v>
      </c>
      <c r="N37" s="51">
        <v>1.36</v>
      </c>
      <c r="O37" s="51">
        <v>3.87</v>
      </c>
      <c r="P37" s="51">
        <v>0</v>
      </c>
      <c r="Q37" s="51">
        <v>0</v>
      </c>
      <c r="R37" s="51">
        <v>3</v>
      </c>
      <c r="S37" s="51">
        <v>0</v>
      </c>
      <c r="T37" s="51">
        <v>0</v>
      </c>
      <c r="U37" s="51">
        <v>0.12</v>
      </c>
      <c r="V37" s="51">
        <v>0.1</v>
      </c>
      <c r="W37" s="51">
        <v>0.03</v>
      </c>
      <c r="X37" s="51">
        <v>2.46</v>
      </c>
      <c r="Y37" s="26" t="s">
        <v>1195</v>
      </c>
    </row>
    <row r="38" spans="2:25" ht="17.25" customHeight="1">
      <c r="B38" s="24">
        <v>31</v>
      </c>
      <c r="C38" s="484"/>
      <c r="D38" s="484"/>
      <c r="E38" s="49" t="s">
        <v>416</v>
      </c>
      <c r="F38" s="50">
        <v>3449.3</v>
      </c>
      <c r="G38" s="51">
        <v>27.06</v>
      </c>
      <c r="H38" s="51">
        <v>3.51</v>
      </c>
      <c r="I38" s="51">
        <v>0.04</v>
      </c>
      <c r="J38" s="51">
        <v>5.6</v>
      </c>
      <c r="K38" s="51">
        <v>2.36</v>
      </c>
      <c r="L38" s="52">
        <v>2.33</v>
      </c>
      <c r="M38" s="51">
        <v>2.28</v>
      </c>
      <c r="N38" s="51">
        <v>1.36</v>
      </c>
      <c r="O38" s="51">
        <v>3.87</v>
      </c>
      <c r="P38" s="51">
        <v>0</v>
      </c>
      <c r="Q38" s="51">
        <v>0</v>
      </c>
      <c r="R38" s="51">
        <v>3</v>
      </c>
      <c r="S38" s="51">
        <v>0</v>
      </c>
      <c r="T38" s="51">
        <v>0</v>
      </c>
      <c r="U38" s="51">
        <v>0.12</v>
      </c>
      <c r="V38" s="51">
        <v>0.1</v>
      </c>
      <c r="W38" s="51">
        <v>0.03</v>
      </c>
      <c r="X38" s="51">
        <v>2.46</v>
      </c>
      <c r="Y38" s="26" t="s">
        <v>1195</v>
      </c>
    </row>
    <row r="39" spans="2:25" ht="17.25" customHeight="1">
      <c r="B39" s="24">
        <v>32</v>
      </c>
      <c r="C39" s="484"/>
      <c r="D39" s="484"/>
      <c r="E39" s="49" t="s">
        <v>417</v>
      </c>
      <c r="F39" s="50">
        <v>2076</v>
      </c>
      <c r="G39" s="51">
        <v>27.06</v>
      </c>
      <c r="H39" s="51">
        <v>3.51</v>
      </c>
      <c r="I39" s="51">
        <v>0.04</v>
      </c>
      <c r="J39" s="51">
        <v>5.6</v>
      </c>
      <c r="K39" s="51">
        <v>2.36</v>
      </c>
      <c r="L39" s="52">
        <v>2.33</v>
      </c>
      <c r="M39" s="51">
        <v>2.28</v>
      </c>
      <c r="N39" s="51">
        <v>1.36</v>
      </c>
      <c r="O39" s="51">
        <v>3.87</v>
      </c>
      <c r="P39" s="51">
        <v>0</v>
      </c>
      <c r="Q39" s="51">
        <v>0</v>
      </c>
      <c r="R39" s="51">
        <v>3</v>
      </c>
      <c r="S39" s="51">
        <v>0</v>
      </c>
      <c r="T39" s="51">
        <v>0</v>
      </c>
      <c r="U39" s="51">
        <v>0.12</v>
      </c>
      <c r="V39" s="51">
        <v>0.1</v>
      </c>
      <c r="W39" s="51">
        <v>0.03</v>
      </c>
      <c r="X39" s="51">
        <v>2.46</v>
      </c>
      <c r="Y39" s="26" t="s">
        <v>1195</v>
      </c>
    </row>
    <row r="40" spans="2:25" ht="16.5" customHeight="1">
      <c r="B40" s="24">
        <v>33</v>
      </c>
      <c r="C40" s="484"/>
      <c r="D40" s="484"/>
      <c r="E40" s="49" t="s">
        <v>418</v>
      </c>
      <c r="F40" s="50">
        <v>2059.4</v>
      </c>
      <c r="G40" s="51">
        <v>27.06</v>
      </c>
      <c r="H40" s="51">
        <v>3.51</v>
      </c>
      <c r="I40" s="51">
        <v>0.04</v>
      </c>
      <c r="J40" s="51">
        <v>5.6</v>
      </c>
      <c r="K40" s="51">
        <v>2.36</v>
      </c>
      <c r="L40" s="52">
        <v>2.33</v>
      </c>
      <c r="M40" s="51">
        <v>2.28</v>
      </c>
      <c r="N40" s="51">
        <v>1.36</v>
      </c>
      <c r="O40" s="51">
        <v>3.87</v>
      </c>
      <c r="P40" s="51">
        <v>0</v>
      </c>
      <c r="Q40" s="51">
        <v>0</v>
      </c>
      <c r="R40" s="51">
        <v>3</v>
      </c>
      <c r="S40" s="51">
        <v>0</v>
      </c>
      <c r="T40" s="51">
        <v>0</v>
      </c>
      <c r="U40" s="51">
        <v>0.12</v>
      </c>
      <c r="V40" s="51">
        <v>0.1</v>
      </c>
      <c r="W40" s="51">
        <v>0.03</v>
      </c>
      <c r="X40" s="51">
        <v>2.46</v>
      </c>
      <c r="Y40" s="26" t="s">
        <v>1195</v>
      </c>
    </row>
    <row r="41" spans="2:25" ht="15.75" customHeight="1">
      <c r="B41" s="24">
        <v>34</v>
      </c>
      <c r="C41" s="484"/>
      <c r="D41" s="484"/>
      <c r="E41" s="49" t="s">
        <v>419</v>
      </c>
      <c r="F41" s="50">
        <v>2121.5</v>
      </c>
      <c r="G41" s="51">
        <v>27.06</v>
      </c>
      <c r="H41" s="51">
        <v>3.51</v>
      </c>
      <c r="I41" s="51">
        <v>0.04</v>
      </c>
      <c r="J41" s="51">
        <v>5.6</v>
      </c>
      <c r="K41" s="51">
        <v>2.36</v>
      </c>
      <c r="L41" s="52">
        <v>2.33</v>
      </c>
      <c r="M41" s="51">
        <v>2.28</v>
      </c>
      <c r="N41" s="51">
        <v>1.36</v>
      </c>
      <c r="O41" s="51">
        <v>3.87</v>
      </c>
      <c r="P41" s="51">
        <v>0</v>
      </c>
      <c r="Q41" s="51">
        <v>0</v>
      </c>
      <c r="R41" s="51">
        <v>3</v>
      </c>
      <c r="S41" s="51">
        <v>0</v>
      </c>
      <c r="T41" s="51">
        <v>0</v>
      </c>
      <c r="U41" s="51">
        <v>0.12</v>
      </c>
      <c r="V41" s="51">
        <v>0.1</v>
      </c>
      <c r="W41" s="51">
        <v>0.03</v>
      </c>
      <c r="X41" s="51">
        <v>2.46</v>
      </c>
      <c r="Y41" s="26" t="s">
        <v>1195</v>
      </c>
    </row>
    <row r="42" spans="2:25" ht="17.25" customHeight="1">
      <c r="B42" s="24">
        <v>35</v>
      </c>
      <c r="C42" s="484"/>
      <c r="D42" s="484"/>
      <c r="E42" s="49" t="s">
        <v>420</v>
      </c>
      <c r="F42" s="50">
        <v>4331.9</v>
      </c>
      <c r="G42" s="51">
        <v>27.06</v>
      </c>
      <c r="H42" s="51">
        <v>3.51</v>
      </c>
      <c r="I42" s="51">
        <v>0.04</v>
      </c>
      <c r="J42" s="51">
        <v>5.6</v>
      </c>
      <c r="K42" s="51">
        <v>2.36</v>
      </c>
      <c r="L42" s="52">
        <v>2.33</v>
      </c>
      <c r="M42" s="51">
        <v>2.28</v>
      </c>
      <c r="N42" s="51">
        <v>1.36</v>
      </c>
      <c r="O42" s="51">
        <v>3.87</v>
      </c>
      <c r="P42" s="51">
        <v>0</v>
      </c>
      <c r="Q42" s="51">
        <v>0</v>
      </c>
      <c r="R42" s="51">
        <v>3</v>
      </c>
      <c r="S42" s="51">
        <v>0</v>
      </c>
      <c r="T42" s="51">
        <v>0</v>
      </c>
      <c r="U42" s="51">
        <v>0.12</v>
      </c>
      <c r="V42" s="51">
        <v>0.1</v>
      </c>
      <c r="W42" s="51">
        <v>0.03</v>
      </c>
      <c r="X42" s="51">
        <v>2.46</v>
      </c>
      <c r="Y42" s="26" t="s">
        <v>1195</v>
      </c>
    </row>
    <row r="43" spans="2:25" ht="15.75" customHeight="1">
      <c r="B43" s="24">
        <v>36</v>
      </c>
      <c r="C43" s="484"/>
      <c r="D43" s="484"/>
      <c r="E43" s="49" t="s">
        <v>421</v>
      </c>
      <c r="F43" s="50">
        <v>3265.7</v>
      </c>
      <c r="G43" s="51">
        <v>27.06</v>
      </c>
      <c r="H43" s="51">
        <v>3.51</v>
      </c>
      <c r="I43" s="51">
        <v>0.04</v>
      </c>
      <c r="J43" s="51">
        <v>5.6</v>
      </c>
      <c r="K43" s="51">
        <v>2.36</v>
      </c>
      <c r="L43" s="52">
        <v>2.33</v>
      </c>
      <c r="M43" s="51">
        <v>2.28</v>
      </c>
      <c r="N43" s="51">
        <v>1.36</v>
      </c>
      <c r="O43" s="51">
        <v>3.87</v>
      </c>
      <c r="P43" s="51">
        <v>0</v>
      </c>
      <c r="Q43" s="51">
        <v>0</v>
      </c>
      <c r="R43" s="51">
        <v>3</v>
      </c>
      <c r="S43" s="51">
        <v>0</v>
      </c>
      <c r="T43" s="51">
        <v>0</v>
      </c>
      <c r="U43" s="51">
        <v>0.12</v>
      </c>
      <c r="V43" s="51">
        <v>0.1</v>
      </c>
      <c r="W43" s="51">
        <v>0.03</v>
      </c>
      <c r="X43" s="51">
        <v>2.46</v>
      </c>
      <c r="Y43" s="26" t="s">
        <v>1195</v>
      </c>
    </row>
    <row r="44" spans="2:25" ht="16.5" customHeight="1">
      <c r="B44" s="24">
        <v>37</v>
      </c>
      <c r="C44" s="484"/>
      <c r="D44" s="484"/>
      <c r="E44" s="49" t="s">
        <v>422</v>
      </c>
      <c r="F44" s="50">
        <v>3266.5</v>
      </c>
      <c r="G44" s="51">
        <v>27.06</v>
      </c>
      <c r="H44" s="51">
        <v>3.51</v>
      </c>
      <c r="I44" s="51">
        <v>0.04</v>
      </c>
      <c r="J44" s="51">
        <v>5.6</v>
      </c>
      <c r="K44" s="51">
        <v>2.36</v>
      </c>
      <c r="L44" s="52">
        <v>2.33</v>
      </c>
      <c r="M44" s="51">
        <v>2.28</v>
      </c>
      <c r="N44" s="51">
        <v>1.36</v>
      </c>
      <c r="O44" s="51">
        <v>3.87</v>
      </c>
      <c r="P44" s="51">
        <v>0</v>
      </c>
      <c r="Q44" s="51">
        <v>0</v>
      </c>
      <c r="R44" s="51">
        <v>3</v>
      </c>
      <c r="S44" s="51">
        <v>0</v>
      </c>
      <c r="T44" s="51">
        <v>0</v>
      </c>
      <c r="U44" s="51">
        <v>0.12</v>
      </c>
      <c r="V44" s="51">
        <v>0.1</v>
      </c>
      <c r="W44" s="51">
        <v>0.03</v>
      </c>
      <c r="X44" s="51">
        <v>2.46</v>
      </c>
      <c r="Y44" s="26" t="s">
        <v>1195</v>
      </c>
    </row>
    <row r="45" spans="2:25" ht="15.75" customHeight="1">
      <c r="B45" s="24">
        <v>38</v>
      </c>
      <c r="C45" s="484"/>
      <c r="D45" s="484"/>
      <c r="E45" s="49" t="s">
        <v>423</v>
      </c>
      <c r="F45" s="50">
        <v>4124.7</v>
      </c>
      <c r="G45" s="51">
        <v>27.06</v>
      </c>
      <c r="H45" s="51">
        <v>3.51</v>
      </c>
      <c r="I45" s="51">
        <v>0.04</v>
      </c>
      <c r="J45" s="51">
        <v>5.6</v>
      </c>
      <c r="K45" s="51">
        <v>2.36</v>
      </c>
      <c r="L45" s="52">
        <v>2.33</v>
      </c>
      <c r="M45" s="51">
        <v>2.28</v>
      </c>
      <c r="N45" s="51">
        <v>1.36</v>
      </c>
      <c r="O45" s="51">
        <v>3.87</v>
      </c>
      <c r="P45" s="51">
        <v>0</v>
      </c>
      <c r="Q45" s="51">
        <v>0</v>
      </c>
      <c r="R45" s="51">
        <v>3</v>
      </c>
      <c r="S45" s="51">
        <v>0</v>
      </c>
      <c r="T45" s="51">
        <v>0</v>
      </c>
      <c r="U45" s="51">
        <v>0.12</v>
      </c>
      <c r="V45" s="51">
        <v>0.1</v>
      </c>
      <c r="W45" s="51">
        <v>0.03</v>
      </c>
      <c r="X45" s="51">
        <v>2.46</v>
      </c>
      <c r="Y45" s="26" t="s">
        <v>1195</v>
      </c>
    </row>
    <row r="46" spans="2:25" ht="16.5" customHeight="1">
      <c r="B46" s="24">
        <v>39</v>
      </c>
      <c r="C46" s="484"/>
      <c r="D46" s="484"/>
      <c r="E46" s="49" t="s">
        <v>424</v>
      </c>
      <c r="F46" s="50">
        <v>3171.9</v>
      </c>
      <c r="G46" s="51">
        <v>27.06</v>
      </c>
      <c r="H46" s="51">
        <v>3.51</v>
      </c>
      <c r="I46" s="51">
        <v>0.04</v>
      </c>
      <c r="J46" s="51">
        <v>5.6</v>
      </c>
      <c r="K46" s="51">
        <v>2.36</v>
      </c>
      <c r="L46" s="52">
        <v>2.33</v>
      </c>
      <c r="M46" s="51">
        <v>2.28</v>
      </c>
      <c r="N46" s="51">
        <v>1.36</v>
      </c>
      <c r="O46" s="51">
        <v>3.87</v>
      </c>
      <c r="P46" s="51">
        <v>0</v>
      </c>
      <c r="Q46" s="51">
        <v>0</v>
      </c>
      <c r="R46" s="51">
        <v>3</v>
      </c>
      <c r="S46" s="51">
        <v>0</v>
      </c>
      <c r="T46" s="51">
        <v>0</v>
      </c>
      <c r="U46" s="51">
        <v>0.12</v>
      </c>
      <c r="V46" s="51">
        <v>0.1</v>
      </c>
      <c r="W46" s="51">
        <v>0.03</v>
      </c>
      <c r="X46" s="51">
        <v>2.46</v>
      </c>
      <c r="Y46" s="26" t="s">
        <v>1195</v>
      </c>
    </row>
    <row r="47" spans="2:25" ht="16.5" customHeight="1">
      <c r="B47" s="24">
        <v>40</v>
      </c>
      <c r="C47" s="484"/>
      <c r="D47" s="484"/>
      <c r="E47" s="49" t="s">
        <v>425</v>
      </c>
      <c r="F47" s="50">
        <v>2366.9</v>
      </c>
      <c r="G47" s="51">
        <v>27.06</v>
      </c>
      <c r="H47" s="51">
        <v>3.51</v>
      </c>
      <c r="I47" s="51">
        <v>0.04</v>
      </c>
      <c r="J47" s="51">
        <v>5.6</v>
      </c>
      <c r="K47" s="51">
        <v>2.36</v>
      </c>
      <c r="L47" s="52">
        <v>2.33</v>
      </c>
      <c r="M47" s="51">
        <v>2.28</v>
      </c>
      <c r="N47" s="51">
        <v>1.36</v>
      </c>
      <c r="O47" s="51">
        <v>3.87</v>
      </c>
      <c r="P47" s="51">
        <v>0</v>
      </c>
      <c r="Q47" s="51">
        <v>0</v>
      </c>
      <c r="R47" s="51">
        <v>3</v>
      </c>
      <c r="S47" s="51">
        <v>0</v>
      </c>
      <c r="T47" s="51">
        <v>0</v>
      </c>
      <c r="U47" s="51">
        <v>0.12</v>
      </c>
      <c r="V47" s="51">
        <v>0.1</v>
      </c>
      <c r="W47" s="51">
        <v>0.03</v>
      </c>
      <c r="X47" s="51">
        <v>2.46</v>
      </c>
      <c r="Y47" s="26" t="s">
        <v>1195</v>
      </c>
    </row>
    <row r="48" spans="2:25" ht="18.75" customHeight="1">
      <c r="B48" s="24">
        <v>41</v>
      </c>
      <c r="C48" s="484"/>
      <c r="D48" s="484"/>
      <c r="E48" s="49" t="s">
        <v>426</v>
      </c>
      <c r="F48" s="50">
        <v>2078.6</v>
      </c>
      <c r="G48" s="51">
        <v>26.35</v>
      </c>
      <c r="H48" s="51">
        <v>3.51</v>
      </c>
      <c r="I48" s="51">
        <v>0.04</v>
      </c>
      <c r="J48" s="51">
        <v>6.38</v>
      </c>
      <c r="K48" s="51">
        <v>2.49</v>
      </c>
      <c r="L48" s="52">
        <v>2.42</v>
      </c>
      <c r="M48" s="51">
        <v>1.27</v>
      </c>
      <c r="N48" s="51">
        <v>0.94</v>
      </c>
      <c r="O48" s="51">
        <v>3.27</v>
      </c>
      <c r="P48" s="51">
        <v>0</v>
      </c>
      <c r="Q48" s="51">
        <v>0</v>
      </c>
      <c r="R48" s="51">
        <v>3.13</v>
      </c>
      <c r="S48" s="51">
        <v>0</v>
      </c>
      <c r="T48" s="51">
        <v>0</v>
      </c>
      <c r="U48" s="51">
        <v>0.31</v>
      </c>
      <c r="V48" s="51">
        <v>0.1</v>
      </c>
      <c r="W48" s="51">
        <v>0.03</v>
      </c>
      <c r="X48" s="51">
        <v>2.46</v>
      </c>
      <c r="Y48" s="26" t="s">
        <v>1195</v>
      </c>
    </row>
    <row r="49" spans="2:25" ht="15" customHeight="1">
      <c r="B49" s="24">
        <v>42</v>
      </c>
      <c r="C49" s="484"/>
      <c r="D49" s="484"/>
      <c r="E49" s="49" t="s">
        <v>427</v>
      </c>
      <c r="F49" s="50">
        <v>2037.7</v>
      </c>
      <c r="G49" s="51">
        <v>26.35</v>
      </c>
      <c r="H49" s="51">
        <v>3.51</v>
      </c>
      <c r="I49" s="51">
        <v>0.04</v>
      </c>
      <c r="J49" s="51">
        <v>6.38</v>
      </c>
      <c r="K49" s="51">
        <v>2.49</v>
      </c>
      <c r="L49" s="52">
        <v>2.42</v>
      </c>
      <c r="M49" s="51">
        <v>1.27</v>
      </c>
      <c r="N49" s="51">
        <v>0.94</v>
      </c>
      <c r="O49" s="51">
        <v>3.27</v>
      </c>
      <c r="P49" s="51">
        <v>0</v>
      </c>
      <c r="Q49" s="51">
        <v>0</v>
      </c>
      <c r="R49" s="51">
        <v>3.13</v>
      </c>
      <c r="S49" s="51">
        <v>0</v>
      </c>
      <c r="T49" s="51">
        <v>0</v>
      </c>
      <c r="U49" s="51">
        <v>0.31</v>
      </c>
      <c r="V49" s="51">
        <v>0.1</v>
      </c>
      <c r="W49" s="51">
        <v>0.03</v>
      </c>
      <c r="X49" s="51">
        <v>2.46</v>
      </c>
      <c r="Y49" s="26" t="s">
        <v>1195</v>
      </c>
    </row>
    <row r="50" spans="2:25" ht="17.25" customHeight="1">
      <c r="B50" s="24">
        <v>43</v>
      </c>
      <c r="C50" s="484"/>
      <c r="D50" s="484"/>
      <c r="E50" s="49" t="s">
        <v>428</v>
      </c>
      <c r="F50" s="50">
        <v>2072.5</v>
      </c>
      <c r="G50" s="51">
        <v>26.35</v>
      </c>
      <c r="H50" s="51">
        <v>3.51</v>
      </c>
      <c r="I50" s="51">
        <v>0.04</v>
      </c>
      <c r="J50" s="51">
        <v>6.38</v>
      </c>
      <c r="K50" s="51">
        <v>2.49</v>
      </c>
      <c r="L50" s="52">
        <v>2.42</v>
      </c>
      <c r="M50" s="51">
        <v>1.27</v>
      </c>
      <c r="N50" s="51">
        <v>0.94</v>
      </c>
      <c r="O50" s="51">
        <v>3.27</v>
      </c>
      <c r="P50" s="51">
        <v>0</v>
      </c>
      <c r="Q50" s="51">
        <v>0</v>
      </c>
      <c r="R50" s="51">
        <v>3.13</v>
      </c>
      <c r="S50" s="51">
        <v>0</v>
      </c>
      <c r="T50" s="51">
        <v>0</v>
      </c>
      <c r="U50" s="51">
        <v>0.31</v>
      </c>
      <c r="V50" s="51">
        <v>0.1</v>
      </c>
      <c r="W50" s="51">
        <v>0.03</v>
      </c>
      <c r="X50" s="51">
        <v>2.46</v>
      </c>
      <c r="Y50" s="26" t="s">
        <v>1195</v>
      </c>
    </row>
    <row r="51" spans="2:25" ht="18" customHeight="1">
      <c r="B51" s="24">
        <v>44</v>
      </c>
      <c r="C51" s="484"/>
      <c r="D51" s="484"/>
      <c r="E51" s="49" t="s">
        <v>429</v>
      </c>
      <c r="F51" s="50">
        <v>3160.3</v>
      </c>
      <c r="G51" s="51">
        <v>26.35</v>
      </c>
      <c r="H51" s="51">
        <v>3.51</v>
      </c>
      <c r="I51" s="51">
        <v>0.04</v>
      </c>
      <c r="J51" s="51">
        <v>6.38</v>
      </c>
      <c r="K51" s="51">
        <v>2.49</v>
      </c>
      <c r="L51" s="52">
        <v>2.42</v>
      </c>
      <c r="M51" s="51">
        <v>1.27</v>
      </c>
      <c r="N51" s="51">
        <v>0.94</v>
      </c>
      <c r="O51" s="51">
        <v>3.27</v>
      </c>
      <c r="P51" s="51">
        <v>0</v>
      </c>
      <c r="Q51" s="51">
        <v>0</v>
      </c>
      <c r="R51" s="51">
        <v>3.13</v>
      </c>
      <c r="S51" s="51">
        <v>0</v>
      </c>
      <c r="T51" s="51">
        <v>0</v>
      </c>
      <c r="U51" s="51">
        <v>0.31</v>
      </c>
      <c r="V51" s="51">
        <v>0.1</v>
      </c>
      <c r="W51" s="51">
        <v>0.03</v>
      </c>
      <c r="X51" s="51">
        <v>2.46</v>
      </c>
      <c r="Y51" s="26" t="s">
        <v>1195</v>
      </c>
    </row>
    <row r="52" spans="2:25" ht="18" customHeight="1">
      <c r="B52" s="24">
        <v>45</v>
      </c>
      <c r="C52" s="484"/>
      <c r="D52" s="484"/>
      <c r="E52" s="49" t="s">
        <v>430</v>
      </c>
      <c r="F52" s="50">
        <v>1599.7</v>
      </c>
      <c r="G52" s="51">
        <v>27.06</v>
      </c>
      <c r="H52" s="51">
        <v>3.51</v>
      </c>
      <c r="I52" s="51">
        <v>0.04</v>
      </c>
      <c r="J52" s="51">
        <v>5.6</v>
      </c>
      <c r="K52" s="51">
        <v>2.36</v>
      </c>
      <c r="L52" s="52">
        <v>2.33</v>
      </c>
      <c r="M52" s="51">
        <v>2.28</v>
      </c>
      <c r="N52" s="51">
        <v>1.36</v>
      </c>
      <c r="O52" s="51">
        <v>3.87</v>
      </c>
      <c r="P52" s="51">
        <v>0</v>
      </c>
      <c r="Q52" s="51">
        <v>0</v>
      </c>
      <c r="R52" s="51">
        <v>3</v>
      </c>
      <c r="S52" s="51">
        <v>0</v>
      </c>
      <c r="T52" s="51">
        <v>0</v>
      </c>
      <c r="U52" s="51">
        <v>0.12</v>
      </c>
      <c r="V52" s="51">
        <v>0.1</v>
      </c>
      <c r="W52" s="51">
        <v>0.03</v>
      </c>
      <c r="X52" s="51">
        <v>2.46</v>
      </c>
      <c r="Y52" s="26" t="s">
        <v>1195</v>
      </c>
    </row>
    <row r="53" spans="2:25" ht="18" customHeight="1">
      <c r="B53" s="24">
        <v>46</v>
      </c>
      <c r="C53" s="484"/>
      <c r="D53" s="484"/>
      <c r="E53" s="49" t="s">
        <v>431</v>
      </c>
      <c r="F53" s="50">
        <v>1572.1</v>
      </c>
      <c r="G53" s="51">
        <v>27.06</v>
      </c>
      <c r="H53" s="51">
        <v>3.51</v>
      </c>
      <c r="I53" s="51">
        <v>0.04</v>
      </c>
      <c r="J53" s="51">
        <v>5.6</v>
      </c>
      <c r="K53" s="51">
        <v>2.36</v>
      </c>
      <c r="L53" s="52">
        <v>2.33</v>
      </c>
      <c r="M53" s="51">
        <v>2.28</v>
      </c>
      <c r="N53" s="51">
        <v>1.36</v>
      </c>
      <c r="O53" s="51">
        <v>3.87</v>
      </c>
      <c r="P53" s="51">
        <v>0</v>
      </c>
      <c r="Q53" s="51">
        <v>0</v>
      </c>
      <c r="R53" s="51">
        <v>3</v>
      </c>
      <c r="S53" s="51">
        <v>0</v>
      </c>
      <c r="T53" s="51">
        <v>0</v>
      </c>
      <c r="U53" s="51">
        <v>0.12</v>
      </c>
      <c r="V53" s="51">
        <v>0.1</v>
      </c>
      <c r="W53" s="51">
        <v>0.03</v>
      </c>
      <c r="X53" s="51">
        <v>2.46</v>
      </c>
      <c r="Y53" s="26" t="s">
        <v>1195</v>
      </c>
    </row>
    <row r="54" spans="2:25" ht="17.25" customHeight="1">
      <c r="B54" s="24">
        <v>47</v>
      </c>
      <c r="C54" s="484"/>
      <c r="D54" s="484"/>
      <c r="E54" s="49" t="s">
        <v>432</v>
      </c>
      <c r="F54" s="50">
        <v>2545.5</v>
      </c>
      <c r="G54" s="51">
        <v>27.06</v>
      </c>
      <c r="H54" s="51">
        <v>3.51</v>
      </c>
      <c r="I54" s="51">
        <v>0.04</v>
      </c>
      <c r="J54" s="51">
        <v>5.6</v>
      </c>
      <c r="K54" s="51">
        <v>2.36</v>
      </c>
      <c r="L54" s="52">
        <v>2.33</v>
      </c>
      <c r="M54" s="51">
        <v>2.28</v>
      </c>
      <c r="N54" s="51">
        <v>1.36</v>
      </c>
      <c r="O54" s="51">
        <v>3.87</v>
      </c>
      <c r="P54" s="51">
        <v>0</v>
      </c>
      <c r="Q54" s="51">
        <v>0</v>
      </c>
      <c r="R54" s="51">
        <v>3</v>
      </c>
      <c r="S54" s="51">
        <v>0</v>
      </c>
      <c r="T54" s="51">
        <v>0</v>
      </c>
      <c r="U54" s="51">
        <v>0.12</v>
      </c>
      <c r="V54" s="51">
        <v>0.1</v>
      </c>
      <c r="W54" s="51">
        <v>0.03</v>
      </c>
      <c r="X54" s="51">
        <v>2.46</v>
      </c>
      <c r="Y54" s="26" t="s">
        <v>1195</v>
      </c>
    </row>
    <row r="55" spans="2:25" ht="17.25" customHeight="1">
      <c r="B55" s="24">
        <v>48</v>
      </c>
      <c r="C55" s="484"/>
      <c r="D55" s="484"/>
      <c r="E55" s="49" t="s">
        <v>433</v>
      </c>
      <c r="F55" s="50">
        <v>2523.3</v>
      </c>
      <c r="G55" s="51">
        <v>26.35</v>
      </c>
      <c r="H55" s="51">
        <v>3.51</v>
      </c>
      <c r="I55" s="51">
        <v>0.04</v>
      </c>
      <c r="J55" s="51">
        <v>6.38</v>
      </c>
      <c r="K55" s="51">
        <v>2.49</v>
      </c>
      <c r="L55" s="52">
        <v>2.42</v>
      </c>
      <c r="M55" s="51">
        <v>1.27</v>
      </c>
      <c r="N55" s="51">
        <v>0.94</v>
      </c>
      <c r="O55" s="51">
        <v>3.27</v>
      </c>
      <c r="P55" s="51">
        <v>0</v>
      </c>
      <c r="Q55" s="51">
        <v>0</v>
      </c>
      <c r="R55" s="51">
        <v>3.13</v>
      </c>
      <c r="S55" s="51">
        <v>0</v>
      </c>
      <c r="T55" s="51">
        <v>0</v>
      </c>
      <c r="U55" s="51">
        <v>0.31</v>
      </c>
      <c r="V55" s="51">
        <v>0.1</v>
      </c>
      <c r="W55" s="51">
        <v>0.03</v>
      </c>
      <c r="X55" s="51">
        <v>2.46</v>
      </c>
      <c r="Y55" s="26" t="s">
        <v>1195</v>
      </c>
    </row>
    <row r="56" spans="2:25" ht="16.5" customHeight="1">
      <c r="B56" s="24">
        <v>49</v>
      </c>
      <c r="C56" s="484"/>
      <c r="D56" s="484"/>
      <c r="E56" s="49" t="s">
        <v>434</v>
      </c>
      <c r="F56" s="50">
        <v>1627.9</v>
      </c>
      <c r="G56" s="51">
        <v>26.35</v>
      </c>
      <c r="H56" s="51">
        <v>3.51</v>
      </c>
      <c r="I56" s="51">
        <v>0.04</v>
      </c>
      <c r="J56" s="51">
        <v>6.38</v>
      </c>
      <c r="K56" s="51">
        <v>2.49</v>
      </c>
      <c r="L56" s="52">
        <v>2.42</v>
      </c>
      <c r="M56" s="51">
        <v>1.27</v>
      </c>
      <c r="N56" s="51">
        <v>0.94</v>
      </c>
      <c r="O56" s="51">
        <v>3.27</v>
      </c>
      <c r="P56" s="51">
        <v>0</v>
      </c>
      <c r="Q56" s="51">
        <v>0</v>
      </c>
      <c r="R56" s="51">
        <v>3.13</v>
      </c>
      <c r="S56" s="51">
        <v>0</v>
      </c>
      <c r="T56" s="51">
        <v>0</v>
      </c>
      <c r="U56" s="51">
        <v>0.31</v>
      </c>
      <c r="V56" s="51">
        <v>0.1</v>
      </c>
      <c r="W56" s="51">
        <v>0.03</v>
      </c>
      <c r="X56" s="51">
        <v>2.46</v>
      </c>
      <c r="Y56" s="26" t="s">
        <v>1195</v>
      </c>
    </row>
    <row r="57" spans="2:25" ht="16.5" customHeight="1">
      <c r="B57" s="24">
        <v>50</v>
      </c>
      <c r="C57" s="484"/>
      <c r="D57" s="484"/>
      <c r="E57" s="49" t="s">
        <v>435</v>
      </c>
      <c r="F57" s="50">
        <v>2498.9</v>
      </c>
      <c r="G57" s="51">
        <v>26.35</v>
      </c>
      <c r="H57" s="51">
        <v>3.51</v>
      </c>
      <c r="I57" s="51">
        <v>0.04</v>
      </c>
      <c r="J57" s="51">
        <v>6.38</v>
      </c>
      <c r="K57" s="51">
        <v>2.49</v>
      </c>
      <c r="L57" s="52">
        <v>2.42</v>
      </c>
      <c r="M57" s="51">
        <v>1.27</v>
      </c>
      <c r="N57" s="51">
        <v>0.94</v>
      </c>
      <c r="O57" s="51">
        <v>3.27</v>
      </c>
      <c r="P57" s="51">
        <v>0</v>
      </c>
      <c r="Q57" s="51">
        <v>0</v>
      </c>
      <c r="R57" s="51">
        <v>3.13</v>
      </c>
      <c r="S57" s="51">
        <v>0</v>
      </c>
      <c r="T57" s="51">
        <v>0</v>
      </c>
      <c r="U57" s="51">
        <v>0.31</v>
      </c>
      <c r="V57" s="51">
        <v>0.1</v>
      </c>
      <c r="W57" s="51">
        <v>0.03</v>
      </c>
      <c r="X57" s="51">
        <v>2.46</v>
      </c>
      <c r="Y57" s="26" t="s">
        <v>1195</v>
      </c>
    </row>
    <row r="58" spans="2:25" ht="15.75" customHeight="1">
      <c r="B58" s="24"/>
      <c r="C58" s="22"/>
      <c r="D58" s="22"/>
      <c r="E58" s="22"/>
      <c r="F58" s="54"/>
      <c r="G58" s="54"/>
      <c r="H58" s="54"/>
      <c r="I58" s="54"/>
      <c r="J58" s="54"/>
      <c r="K58" s="54"/>
      <c r="L58" s="55"/>
      <c r="M58" s="5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3:13" ht="12.75">
      <c r="C59" s="650"/>
      <c r="D59" s="56"/>
      <c r="E59" s="56"/>
      <c r="F59" s="648"/>
      <c r="G59" s="648"/>
      <c r="H59" s="648"/>
      <c r="I59" s="648"/>
      <c r="J59" s="648"/>
      <c r="K59" s="648"/>
      <c r="L59" s="648"/>
      <c r="M59" s="648"/>
    </row>
    <row r="60" spans="3:13" ht="12.75">
      <c r="C60" s="650"/>
      <c r="D60" s="56"/>
      <c r="E60" s="56"/>
      <c r="F60" s="651"/>
      <c r="G60" s="651"/>
      <c r="H60" s="651"/>
      <c r="I60" s="651"/>
      <c r="J60" s="651"/>
      <c r="K60" s="651"/>
      <c r="L60" s="651"/>
      <c r="M60" s="651"/>
    </row>
    <row r="61" spans="3:13" ht="12.75">
      <c r="C61" s="650"/>
      <c r="D61" s="56"/>
      <c r="E61" s="56"/>
      <c r="F61" s="651"/>
      <c r="G61" s="651"/>
      <c r="H61" s="651"/>
      <c r="I61" s="651"/>
      <c r="J61" s="651"/>
      <c r="K61" s="651"/>
      <c r="L61" s="651"/>
      <c r="M61" s="651"/>
    </row>
    <row r="62" spans="3:13" ht="12.75">
      <c r="C62" s="650"/>
      <c r="D62" s="56"/>
      <c r="E62" s="56"/>
      <c r="F62" s="651"/>
      <c r="G62" s="651"/>
      <c r="H62" s="651"/>
      <c r="I62" s="651"/>
      <c r="J62" s="651"/>
      <c r="K62" s="651"/>
      <c r="L62" s="651"/>
      <c r="M62" s="651"/>
    </row>
    <row r="63" spans="3:13" ht="12.75">
      <c r="C63" s="650"/>
      <c r="D63" s="56"/>
      <c r="E63" s="56"/>
      <c r="F63" s="651"/>
      <c r="G63" s="651"/>
      <c r="H63" s="651"/>
      <c r="I63" s="651"/>
      <c r="J63" s="651"/>
      <c r="K63" s="651"/>
      <c r="L63" s="651"/>
      <c r="M63" s="651"/>
    </row>
    <row r="64" spans="3:13" ht="12.75">
      <c r="C64" s="56"/>
      <c r="D64" s="56"/>
      <c r="E64" s="56"/>
      <c r="F64" s="648"/>
      <c r="G64" s="648"/>
      <c r="H64" s="648"/>
      <c r="I64" s="648"/>
      <c r="J64" s="648"/>
      <c r="K64" s="648"/>
      <c r="L64" s="648"/>
      <c r="M64" s="648"/>
    </row>
    <row r="65" spans="3:13" ht="12.75">
      <c r="C65" s="56"/>
      <c r="D65" s="56"/>
      <c r="E65" s="56"/>
      <c r="F65" s="648"/>
      <c r="G65" s="648"/>
      <c r="H65" s="648"/>
      <c r="I65" s="648"/>
      <c r="J65" s="648"/>
      <c r="K65" s="648"/>
      <c r="L65" s="648"/>
      <c r="M65" s="648"/>
    </row>
    <row r="66" spans="3:13" ht="12.75">
      <c r="C66" s="56"/>
      <c r="D66" s="56"/>
      <c r="E66" s="56"/>
      <c r="F66" s="648"/>
      <c r="G66" s="648"/>
      <c r="H66" s="648"/>
      <c r="I66" s="648"/>
      <c r="J66" s="648"/>
      <c r="K66" s="648"/>
      <c r="L66" s="648"/>
      <c r="M66" s="648"/>
    </row>
    <row r="67" spans="3:13" ht="12.75">
      <c r="C67" s="56"/>
      <c r="D67" s="56"/>
      <c r="E67" s="56"/>
      <c r="F67" s="648"/>
      <c r="G67" s="648"/>
      <c r="H67" s="648"/>
      <c r="I67" s="648"/>
      <c r="J67" s="648"/>
      <c r="K67" s="648"/>
      <c r="L67" s="648"/>
      <c r="M67" s="648"/>
    </row>
    <row r="68" spans="3:13" ht="12.75">
      <c r="C68" s="650"/>
      <c r="D68" s="56"/>
      <c r="E68" s="56"/>
      <c r="F68" s="648"/>
      <c r="G68" s="648"/>
      <c r="H68" s="648"/>
      <c r="I68" s="648"/>
      <c r="J68" s="648"/>
      <c r="K68" s="648"/>
      <c r="L68" s="648"/>
      <c r="M68" s="648"/>
    </row>
    <row r="69" spans="3:13" ht="12.75">
      <c r="C69" s="650"/>
      <c r="D69" s="56"/>
      <c r="E69" s="56"/>
      <c r="F69" s="651"/>
      <c r="G69" s="651"/>
      <c r="H69" s="651"/>
      <c r="I69" s="651"/>
      <c r="J69" s="651"/>
      <c r="K69" s="651"/>
      <c r="L69" s="651"/>
      <c r="M69" s="651"/>
    </row>
    <row r="70" spans="3:13" ht="12.75">
      <c r="C70" s="650"/>
      <c r="D70" s="56"/>
      <c r="E70" s="56"/>
      <c r="F70" s="651"/>
      <c r="G70" s="651"/>
      <c r="H70" s="651"/>
      <c r="I70" s="651"/>
      <c r="J70" s="651"/>
      <c r="K70" s="651"/>
      <c r="L70" s="651"/>
      <c r="M70" s="651"/>
    </row>
    <row r="71" spans="3:13" ht="12.75">
      <c r="C71" s="650"/>
      <c r="D71" s="56"/>
      <c r="E71" s="56"/>
      <c r="F71" s="651"/>
      <c r="G71" s="651"/>
      <c r="H71" s="651"/>
      <c r="I71" s="651"/>
      <c r="J71" s="651"/>
      <c r="K71" s="651"/>
      <c r="L71" s="651"/>
      <c r="M71" s="651"/>
    </row>
    <row r="72" spans="3:13" ht="12.75">
      <c r="C72" s="56"/>
      <c r="D72" s="56"/>
      <c r="E72" s="56"/>
      <c r="F72" s="648"/>
      <c r="G72" s="648"/>
      <c r="H72" s="648"/>
      <c r="I72" s="648"/>
      <c r="J72" s="648"/>
      <c r="K72" s="648"/>
      <c r="L72" s="648"/>
      <c r="M72" s="648"/>
    </row>
    <row r="73" spans="3:13" ht="12.75">
      <c r="C73" s="56"/>
      <c r="D73" s="56"/>
      <c r="E73" s="56"/>
      <c r="F73" s="648"/>
      <c r="G73" s="648"/>
      <c r="H73" s="648"/>
      <c r="I73" s="648"/>
      <c r="J73" s="648"/>
      <c r="K73" s="648"/>
      <c r="L73" s="648"/>
      <c r="M73" s="648"/>
    </row>
    <row r="74" spans="3:13" ht="12.75">
      <c r="C74" s="652"/>
      <c r="D74" s="652"/>
      <c r="E74" s="652"/>
      <c r="F74" s="652"/>
      <c r="G74" s="652"/>
      <c r="H74" s="652"/>
      <c r="I74" s="652"/>
      <c r="J74" s="652"/>
      <c r="K74" s="652"/>
      <c r="L74" s="652"/>
      <c r="M74" s="652"/>
    </row>
    <row r="75" spans="3:13" ht="12.75">
      <c r="C75" s="56"/>
      <c r="D75" s="56"/>
      <c r="E75" s="56"/>
      <c r="F75" s="648"/>
      <c r="G75" s="648"/>
      <c r="H75" s="648"/>
      <c r="I75" s="648"/>
      <c r="J75" s="648"/>
      <c r="K75" s="648"/>
      <c r="L75" s="648"/>
      <c r="M75" s="648"/>
    </row>
    <row r="76" spans="3:13" ht="12.75">
      <c r="C76" s="56"/>
      <c r="D76" s="56"/>
      <c r="E76" s="56"/>
      <c r="F76" s="648"/>
      <c r="G76" s="648"/>
      <c r="H76" s="648"/>
      <c r="I76" s="648"/>
      <c r="J76" s="648"/>
      <c r="K76" s="648"/>
      <c r="L76" s="648"/>
      <c r="M76" s="648"/>
    </row>
    <row r="77" spans="3:13" ht="12.75">
      <c r="C77" s="56"/>
      <c r="D77" s="56"/>
      <c r="E77" s="56"/>
      <c r="F77" s="648"/>
      <c r="G77" s="648"/>
      <c r="H77" s="648"/>
      <c r="I77" s="648"/>
      <c r="J77" s="648"/>
      <c r="K77" s="648"/>
      <c r="L77" s="648"/>
      <c r="M77" s="648"/>
    </row>
    <row r="78" spans="3:13" ht="12.75">
      <c r="C78" s="56"/>
      <c r="D78" s="56"/>
      <c r="E78" s="56"/>
      <c r="F78" s="648"/>
      <c r="G78" s="648"/>
      <c r="H78" s="648"/>
      <c r="I78" s="648"/>
      <c r="J78" s="648"/>
      <c r="K78" s="648"/>
      <c r="L78" s="648"/>
      <c r="M78" s="648"/>
    </row>
    <row r="79" spans="3:13" ht="12.75">
      <c r="C79" s="56"/>
      <c r="D79" s="56"/>
      <c r="E79" s="56"/>
      <c r="F79" s="648"/>
      <c r="G79" s="648"/>
      <c r="H79" s="648"/>
      <c r="I79" s="648"/>
      <c r="J79" s="648"/>
      <c r="K79" s="648"/>
      <c r="L79" s="648"/>
      <c r="M79" s="648"/>
    </row>
    <row r="80" spans="3:13" ht="12.75">
      <c r="C80" s="56"/>
      <c r="D80" s="56"/>
      <c r="E80" s="56"/>
      <c r="F80" s="648"/>
      <c r="G80" s="648"/>
      <c r="H80" s="648"/>
      <c r="I80" s="648"/>
      <c r="J80" s="648"/>
      <c r="K80" s="648"/>
      <c r="L80" s="648"/>
      <c r="M80" s="648"/>
    </row>
    <row r="81" spans="3:13" ht="12.75">
      <c r="C81" s="56"/>
      <c r="D81" s="56"/>
      <c r="E81" s="56"/>
      <c r="F81" s="648"/>
      <c r="G81" s="648"/>
      <c r="H81" s="648"/>
      <c r="I81" s="648"/>
      <c r="J81" s="648"/>
      <c r="K81" s="648"/>
      <c r="L81" s="648"/>
      <c r="M81" s="648"/>
    </row>
    <row r="82" spans="3:13" ht="12.75">
      <c r="C82" s="56"/>
      <c r="D82" s="56"/>
      <c r="E82" s="56"/>
      <c r="F82" s="648"/>
      <c r="G82" s="648"/>
      <c r="H82" s="648"/>
      <c r="I82" s="648"/>
      <c r="J82" s="648"/>
      <c r="K82" s="648"/>
      <c r="L82" s="648"/>
      <c r="M82" s="648"/>
    </row>
    <row r="83" spans="3:13" ht="12.75">
      <c r="C83" s="56"/>
      <c r="D83" s="56"/>
      <c r="E83" s="56"/>
      <c r="F83" s="648"/>
      <c r="G83" s="648"/>
      <c r="H83" s="648"/>
      <c r="I83" s="648"/>
      <c r="J83" s="648"/>
      <c r="K83" s="648"/>
      <c r="L83" s="648"/>
      <c r="M83" s="648"/>
    </row>
    <row r="84" spans="3:13" ht="12.75">
      <c r="C84" s="56"/>
      <c r="D84" s="56"/>
      <c r="E84" s="56"/>
      <c r="F84" s="648"/>
      <c r="G84" s="648"/>
      <c r="H84" s="648"/>
      <c r="I84" s="648"/>
      <c r="J84" s="648"/>
      <c r="K84" s="648"/>
      <c r="L84" s="648"/>
      <c r="M84" s="648"/>
    </row>
    <row r="85" spans="3:13" ht="12.75">
      <c r="C85" s="56"/>
      <c r="D85" s="56"/>
      <c r="E85" s="56"/>
      <c r="F85" s="648"/>
      <c r="G85" s="648"/>
      <c r="H85" s="648"/>
      <c r="I85" s="648"/>
      <c r="J85" s="648"/>
      <c r="K85" s="648"/>
      <c r="L85" s="648"/>
      <c r="M85" s="648"/>
    </row>
    <row r="86" spans="3:13" ht="12.75">
      <c r="C86" s="56"/>
      <c r="D86" s="56"/>
      <c r="E86" s="56"/>
      <c r="F86" s="648"/>
      <c r="G86" s="648"/>
      <c r="H86" s="648"/>
      <c r="I86" s="648"/>
      <c r="J86" s="648"/>
      <c r="K86" s="648"/>
      <c r="L86" s="648"/>
      <c r="M86" s="648"/>
    </row>
  </sheetData>
  <sheetProtection/>
  <mergeCells count="40">
    <mergeCell ref="F84:M84"/>
    <mergeCell ref="F85:M85"/>
    <mergeCell ref="F86:M86"/>
    <mergeCell ref="F78:M78"/>
    <mergeCell ref="F79:M79"/>
    <mergeCell ref="F80:M80"/>
    <mergeCell ref="F81:M81"/>
    <mergeCell ref="F82:M82"/>
    <mergeCell ref="F83:M83"/>
    <mergeCell ref="F72:M72"/>
    <mergeCell ref="F73:M73"/>
    <mergeCell ref="C74:M74"/>
    <mergeCell ref="F75:M75"/>
    <mergeCell ref="F76:M76"/>
    <mergeCell ref="F77:M77"/>
    <mergeCell ref="F64:M64"/>
    <mergeCell ref="F65:M65"/>
    <mergeCell ref="F66:M66"/>
    <mergeCell ref="F67:M67"/>
    <mergeCell ref="C68:C71"/>
    <mergeCell ref="F68:M68"/>
    <mergeCell ref="F69:M69"/>
    <mergeCell ref="F70:M70"/>
    <mergeCell ref="F71:M71"/>
    <mergeCell ref="C8:C57"/>
    <mergeCell ref="D8:D57"/>
    <mergeCell ref="C59:C63"/>
    <mergeCell ref="F59:M59"/>
    <mergeCell ref="F60:M60"/>
    <mergeCell ref="F61:M61"/>
    <mergeCell ref="F62:M62"/>
    <mergeCell ref="F63:M63"/>
    <mergeCell ref="B3:Y3"/>
    <mergeCell ref="O4:O6"/>
    <mergeCell ref="P4:P6"/>
    <mergeCell ref="R4:R6"/>
    <mergeCell ref="S4:S6"/>
    <mergeCell ref="W4:W6"/>
    <mergeCell ref="Y4:Y6"/>
    <mergeCell ref="C5:M5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281"/>
  <sheetViews>
    <sheetView view="pageBreakPreview" zoomScaleSheetLayoutView="100" zoomScalePageLayoutView="0" workbookViewId="0" topLeftCell="C163">
      <selection activeCell="M187" sqref="M187"/>
    </sheetView>
  </sheetViews>
  <sheetFormatPr defaultColWidth="9.00390625" defaultRowHeight="15.75"/>
  <cols>
    <col min="1" max="1" width="8.625" style="0" customWidth="1"/>
    <col min="2" max="2" width="7.75390625" style="0" customWidth="1"/>
    <col min="3" max="3" width="4.00390625" style="0" customWidth="1"/>
    <col min="4" max="4" width="11.75390625" style="0" customWidth="1"/>
    <col min="5" max="5" width="5.50390625" style="0" customWidth="1"/>
    <col min="6" max="6" width="10.125" style="0" customWidth="1"/>
    <col min="7" max="7" width="4.75390625" style="0" customWidth="1"/>
    <col min="8" max="8" width="3.375" style="0" customWidth="1"/>
    <col min="9" max="9" width="5.625" style="0" customWidth="1"/>
    <col min="10" max="10" width="7.125" style="0" customWidth="1"/>
    <col min="11" max="11" width="15.625" style="0" customWidth="1"/>
    <col min="12" max="12" width="15.25390625" style="0" customWidth="1"/>
    <col min="13" max="13" width="13.75390625" style="0" customWidth="1"/>
    <col min="14" max="14" width="14.25390625" style="0" customWidth="1"/>
    <col min="15" max="15" width="8.00390625" style="0" hidden="1" customWidth="1"/>
    <col min="16" max="16" width="8.00390625" style="0" customWidth="1"/>
  </cols>
  <sheetData>
    <row r="1" spans="1:16" ht="15" customHeight="1">
      <c r="A1" s="291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144"/>
      <c r="M1" s="291"/>
      <c r="N1" s="368" t="s">
        <v>1138</v>
      </c>
      <c r="O1" s="291"/>
      <c r="P1" s="119"/>
    </row>
    <row r="2" spans="1:16" ht="15" customHeight="1">
      <c r="A2" s="291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144"/>
      <c r="M2" s="291"/>
      <c r="N2" s="368" t="s">
        <v>1139</v>
      </c>
      <c r="O2" s="291"/>
      <c r="P2" s="119"/>
    </row>
    <row r="3" spans="1:16" ht="15" customHeight="1">
      <c r="A3" s="291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144"/>
      <c r="M3" s="291"/>
      <c r="N3" s="403" t="s">
        <v>993</v>
      </c>
      <c r="O3" s="291"/>
      <c r="P3" s="119"/>
    </row>
    <row r="4" spans="1:16" ht="15" customHeight="1" thickBot="1">
      <c r="A4" s="550" t="s">
        <v>1140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121" t="s">
        <v>555</v>
      </c>
      <c r="O4" s="404"/>
      <c r="P4" s="119"/>
    </row>
    <row r="5" spans="1:16" ht="15" customHeight="1">
      <c r="A5" s="143"/>
      <c r="B5" s="405"/>
      <c r="C5" s="405"/>
      <c r="D5" s="405"/>
      <c r="E5" s="405"/>
      <c r="F5" s="405"/>
      <c r="G5" s="405"/>
      <c r="H5" s="405"/>
      <c r="I5" s="406"/>
      <c r="J5" s="143"/>
      <c r="K5" s="143"/>
      <c r="L5" s="143"/>
      <c r="M5" s="126" t="s">
        <v>226</v>
      </c>
      <c r="N5" s="407" t="s">
        <v>227</v>
      </c>
      <c r="O5" s="293"/>
      <c r="P5" s="119"/>
    </row>
    <row r="6" spans="1:16" ht="15" customHeight="1">
      <c r="A6" s="551" t="s">
        <v>1141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126" t="s">
        <v>228</v>
      </c>
      <c r="N6" s="408">
        <v>41640</v>
      </c>
      <c r="O6" s="293"/>
      <c r="P6" s="119"/>
    </row>
    <row r="7" spans="1:16" ht="15" customHeight="1">
      <c r="A7" s="144"/>
      <c r="B7" s="405"/>
      <c r="C7" s="405"/>
      <c r="D7" s="405"/>
      <c r="E7" s="405"/>
      <c r="F7" s="405"/>
      <c r="G7" s="405"/>
      <c r="H7" s="405"/>
      <c r="I7" s="233"/>
      <c r="J7" s="124"/>
      <c r="K7" s="124"/>
      <c r="L7" s="124"/>
      <c r="M7" s="409"/>
      <c r="N7" s="410"/>
      <c r="O7" s="293"/>
      <c r="P7" s="119"/>
    </row>
    <row r="8" spans="1:16" ht="33" customHeight="1">
      <c r="A8" s="144" t="s">
        <v>229</v>
      </c>
      <c r="B8" s="405"/>
      <c r="C8" s="405"/>
      <c r="D8" s="405"/>
      <c r="E8" s="552" t="s">
        <v>230</v>
      </c>
      <c r="F8" s="552"/>
      <c r="G8" s="552"/>
      <c r="H8" s="552"/>
      <c r="I8" s="552"/>
      <c r="J8" s="552"/>
      <c r="K8" s="552"/>
      <c r="L8" s="552"/>
      <c r="M8" s="126" t="s">
        <v>1142</v>
      </c>
      <c r="N8" s="411"/>
      <c r="O8" s="293"/>
      <c r="P8" s="119"/>
    </row>
    <row r="9" spans="1:16" ht="15" customHeight="1">
      <c r="A9" s="144" t="s">
        <v>231</v>
      </c>
      <c r="B9" s="405"/>
      <c r="C9" s="405"/>
      <c r="D9" s="405"/>
      <c r="E9" s="412"/>
      <c r="F9" s="413"/>
      <c r="G9" s="413"/>
      <c r="H9" s="413"/>
      <c r="I9" s="413"/>
      <c r="J9" s="413"/>
      <c r="K9" s="413"/>
      <c r="L9" s="413"/>
      <c r="M9" s="409"/>
      <c r="N9" s="414"/>
      <c r="O9" s="293"/>
      <c r="P9" s="119"/>
    </row>
    <row r="10" spans="1:16" ht="15" customHeight="1">
      <c r="A10" s="144" t="s">
        <v>232</v>
      </c>
      <c r="B10" s="405"/>
      <c r="C10" s="405"/>
      <c r="D10" s="405"/>
      <c r="E10" s="553"/>
      <c r="F10" s="553"/>
      <c r="G10" s="553"/>
      <c r="H10" s="553"/>
      <c r="I10" s="553"/>
      <c r="J10" s="553"/>
      <c r="K10" s="553"/>
      <c r="L10" s="553"/>
      <c r="M10" s="126" t="s">
        <v>1143</v>
      </c>
      <c r="N10" s="415"/>
      <c r="O10" s="293"/>
      <c r="P10" s="119"/>
    </row>
    <row r="11" spans="1:16" ht="15" customHeight="1">
      <c r="A11" s="144" t="s">
        <v>233</v>
      </c>
      <c r="B11" s="405"/>
      <c r="C11" s="405"/>
      <c r="D11" s="405"/>
      <c r="E11" s="416"/>
      <c r="F11" s="413"/>
      <c r="G11" s="413"/>
      <c r="H11" s="413"/>
      <c r="I11" s="413"/>
      <c r="J11" s="413"/>
      <c r="K11" s="413"/>
      <c r="L11" s="413"/>
      <c r="M11" s="126" t="s">
        <v>1142</v>
      </c>
      <c r="N11" s="415"/>
      <c r="O11" s="293"/>
      <c r="P11" s="119"/>
    </row>
    <row r="12" spans="1:16" ht="15" customHeight="1">
      <c r="A12" s="144" t="s">
        <v>234</v>
      </c>
      <c r="B12" s="405"/>
      <c r="C12" s="405"/>
      <c r="D12" s="405"/>
      <c r="E12" s="554" t="s">
        <v>997</v>
      </c>
      <c r="F12" s="555"/>
      <c r="G12" s="555"/>
      <c r="H12" s="555"/>
      <c r="I12" s="555"/>
      <c r="J12" s="555"/>
      <c r="K12" s="555"/>
      <c r="L12" s="555"/>
      <c r="M12" s="126" t="s">
        <v>1144</v>
      </c>
      <c r="N12" s="415"/>
      <c r="O12" s="293"/>
      <c r="P12" s="119"/>
    </row>
    <row r="13" spans="1:16" ht="15" customHeight="1">
      <c r="A13" s="144" t="s">
        <v>1145</v>
      </c>
      <c r="B13" s="405"/>
      <c r="C13" s="405"/>
      <c r="D13" s="405"/>
      <c r="E13" s="417"/>
      <c r="F13" s="417"/>
      <c r="G13" s="417"/>
      <c r="H13" s="417"/>
      <c r="I13" s="148"/>
      <c r="J13" s="149"/>
      <c r="K13" s="149"/>
      <c r="L13" s="149"/>
      <c r="M13" s="409"/>
      <c r="N13" s="418"/>
      <c r="O13" s="293"/>
      <c r="P13" s="119"/>
    </row>
    <row r="14" spans="1:16" ht="15" customHeight="1" thickBot="1">
      <c r="A14" s="144" t="s">
        <v>1146</v>
      </c>
      <c r="B14" s="405"/>
      <c r="C14" s="405"/>
      <c r="D14" s="405"/>
      <c r="E14" s="405"/>
      <c r="F14" s="405"/>
      <c r="G14" s="405"/>
      <c r="H14" s="405"/>
      <c r="I14" s="130"/>
      <c r="J14" s="125"/>
      <c r="K14" s="125"/>
      <c r="L14" s="125"/>
      <c r="M14" s="126" t="s">
        <v>1147</v>
      </c>
      <c r="N14" s="419">
        <v>383</v>
      </c>
      <c r="O14" s="293"/>
      <c r="P14" s="119"/>
    </row>
    <row r="15" spans="1:16" ht="15" customHeight="1">
      <c r="A15" s="153"/>
      <c r="B15" s="420"/>
      <c r="C15" s="420"/>
      <c r="D15" s="420"/>
      <c r="E15" s="420"/>
      <c r="F15" s="420"/>
      <c r="G15" s="420"/>
      <c r="H15" s="420"/>
      <c r="I15" s="157"/>
      <c r="J15" s="153"/>
      <c r="K15" s="153"/>
      <c r="L15" s="153"/>
      <c r="M15" s="153"/>
      <c r="N15" s="421"/>
      <c r="O15" s="291"/>
      <c r="P15" s="119"/>
    </row>
    <row r="16" spans="1:16" ht="15" customHeight="1">
      <c r="A16" s="556" t="s">
        <v>691</v>
      </c>
      <c r="B16" s="556"/>
      <c r="C16" s="556"/>
      <c r="D16" s="556"/>
      <c r="E16" s="556"/>
      <c r="F16" s="556"/>
      <c r="G16" s="556"/>
      <c r="H16" s="556"/>
      <c r="I16" s="543" t="s">
        <v>235</v>
      </c>
      <c r="J16" s="527" t="s">
        <v>236</v>
      </c>
      <c r="K16" s="527" t="s">
        <v>1148</v>
      </c>
      <c r="L16" s="543" t="s">
        <v>1149</v>
      </c>
      <c r="M16" s="543" t="s">
        <v>1150</v>
      </c>
      <c r="N16" s="544" t="s">
        <v>692</v>
      </c>
      <c r="O16" s="291"/>
      <c r="P16" s="119"/>
    </row>
    <row r="17" spans="1:16" ht="15" customHeight="1">
      <c r="A17" s="556"/>
      <c r="B17" s="556"/>
      <c r="C17" s="556"/>
      <c r="D17" s="556"/>
      <c r="E17" s="556"/>
      <c r="F17" s="556"/>
      <c r="G17" s="556"/>
      <c r="H17" s="556"/>
      <c r="I17" s="543"/>
      <c r="J17" s="527"/>
      <c r="K17" s="527"/>
      <c r="L17" s="543"/>
      <c r="M17" s="543"/>
      <c r="N17" s="544"/>
      <c r="O17" s="291"/>
      <c r="P17" s="119"/>
    </row>
    <row r="18" spans="1:16" ht="15" customHeight="1" thickBot="1">
      <c r="A18" s="560">
        <v>1</v>
      </c>
      <c r="B18" s="560"/>
      <c r="C18" s="560"/>
      <c r="D18" s="560"/>
      <c r="E18" s="560"/>
      <c r="F18" s="560"/>
      <c r="G18" s="560"/>
      <c r="H18" s="560"/>
      <c r="I18" s="176" t="s">
        <v>560</v>
      </c>
      <c r="J18" s="177">
        <v>3</v>
      </c>
      <c r="K18" s="177">
        <v>4</v>
      </c>
      <c r="L18" s="177">
        <v>5</v>
      </c>
      <c r="M18" s="176" t="s">
        <v>561</v>
      </c>
      <c r="N18" s="422" t="s">
        <v>562</v>
      </c>
      <c r="O18" s="291"/>
      <c r="P18" s="119"/>
    </row>
    <row r="19" spans="1:16" ht="15" customHeight="1">
      <c r="A19" s="569" t="s">
        <v>238</v>
      </c>
      <c r="B19" s="569"/>
      <c r="C19" s="569"/>
      <c r="D19" s="569"/>
      <c r="E19" s="569"/>
      <c r="F19" s="569"/>
      <c r="G19" s="569"/>
      <c r="H19" s="569"/>
      <c r="I19" s="224" t="s">
        <v>564</v>
      </c>
      <c r="J19" s="423" t="s">
        <v>595</v>
      </c>
      <c r="K19" s="424">
        <v>84451757.69</v>
      </c>
      <c r="L19" s="425">
        <v>139421345.06</v>
      </c>
      <c r="M19" s="425" t="s">
        <v>914</v>
      </c>
      <c r="N19" s="426">
        <v>223873102.75</v>
      </c>
      <c r="O19" s="301"/>
      <c r="P19" s="119"/>
    </row>
    <row r="20" spans="1:16" ht="15" customHeight="1">
      <c r="A20" s="545" t="s">
        <v>693</v>
      </c>
      <c r="B20" s="545"/>
      <c r="C20" s="545"/>
      <c r="D20" s="545"/>
      <c r="E20" s="545"/>
      <c r="F20" s="545"/>
      <c r="G20" s="545"/>
      <c r="H20" s="545"/>
      <c r="I20" s="196" t="s">
        <v>572</v>
      </c>
      <c r="J20" s="427" t="s">
        <v>608</v>
      </c>
      <c r="K20" s="286" t="s">
        <v>914</v>
      </c>
      <c r="L20" s="286">
        <v>6000</v>
      </c>
      <c r="M20" s="286" t="s">
        <v>914</v>
      </c>
      <c r="N20" s="428">
        <v>6000</v>
      </c>
      <c r="O20" s="301"/>
      <c r="P20" s="119"/>
    </row>
    <row r="21" spans="1:16" ht="15" customHeight="1">
      <c r="A21" s="545" t="s">
        <v>239</v>
      </c>
      <c r="B21" s="545"/>
      <c r="C21" s="545"/>
      <c r="D21" s="545"/>
      <c r="E21" s="545"/>
      <c r="F21" s="545"/>
      <c r="G21" s="545"/>
      <c r="H21" s="545"/>
      <c r="I21" s="196" t="s">
        <v>576</v>
      </c>
      <c r="J21" s="427" t="s">
        <v>609</v>
      </c>
      <c r="K21" s="286" t="s">
        <v>914</v>
      </c>
      <c r="L21" s="286">
        <v>134654768.78</v>
      </c>
      <c r="M21" s="286" t="s">
        <v>914</v>
      </c>
      <c r="N21" s="428">
        <v>134654768.78</v>
      </c>
      <c r="O21" s="301"/>
      <c r="P21" s="119"/>
    </row>
    <row r="22" spans="1:16" ht="15" customHeight="1">
      <c r="A22" s="545" t="s">
        <v>240</v>
      </c>
      <c r="B22" s="545"/>
      <c r="C22" s="545"/>
      <c r="D22" s="545"/>
      <c r="E22" s="545"/>
      <c r="F22" s="545"/>
      <c r="G22" s="545"/>
      <c r="H22" s="545"/>
      <c r="I22" s="196" t="s">
        <v>579</v>
      </c>
      <c r="J22" s="427" t="s">
        <v>611</v>
      </c>
      <c r="K22" s="286" t="s">
        <v>914</v>
      </c>
      <c r="L22" s="286">
        <v>53184.82</v>
      </c>
      <c r="M22" s="286" t="s">
        <v>914</v>
      </c>
      <c r="N22" s="428">
        <v>53184.82</v>
      </c>
      <c r="O22" s="301"/>
      <c r="P22" s="119"/>
    </row>
    <row r="23" spans="1:16" ht="15" customHeight="1">
      <c r="A23" s="545" t="s">
        <v>241</v>
      </c>
      <c r="B23" s="545"/>
      <c r="C23" s="545"/>
      <c r="D23" s="545"/>
      <c r="E23" s="545"/>
      <c r="F23" s="545"/>
      <c r="G23" s="545"/>
      <c r="H23" s="545"/>
      <c r="I23" s="196" t="s">
        <v>582</v>
      </c>
      <c r="J23" s="427" t="s">
        <v>612</v>
      </c>
      <c r="K23" s="286" t="s">
        <v>914</v>
      </c>
      <c r="L23" s="286" t="s">
        <v>914</v>
      </c>
      <c r="M23" s="286" t="s">
        <v>914</v>
      </c>
      <c r="N23" s="428" t="s">
        <v>914</v>
      </c>
      <c r="O23" s="301"/>
      <c r="P23" s="119"/>
    </row>
    <row r="24" spans="1:16" ht="15" customHeight="1">
      <c r="A24" s="567" t="s">
        <v>248</v>
      </c>
      <c r="B24" s="567"/>
      <c r="C24" s="567"/>
      <c r="D24" s="567"/>
      <c r="E24" s="567"/>
      <c r="F24" s="567"/>
      <c r="G24" s="567"/>
      <c r="H24" s="567"/>
      <c r="I24" s="191"/>
      <c r="J24" s="429"/>
      <c r="K24" s="430"/>
      <c r="L24" s="430"/>
      <c r="M24" s="430"/>
      <c r="N24" s="431"/>
      <c r="O24" s="301"/>
      <c r="P24" s="119"/>
    </row>
    <row r="25" spans="1:16" ht="15" customHeight="1">
      <c r="A25" s="548" t="s">
        <v>242</v>
      </c>
      <c r="B25" s="548"/>
      <c r="C25" s="548"/>
      <c r="D25" s="548"/>
      <c r="E25" s="548"/>
      <c r="F25" s="548"/>
      <c r="G25" s="548"/>
      <c r="H25" s="548"/>
      <c r="I25" s="432"/>
      <c r="J25" s="433"/>
      <c r="K25" s="434"/>
      <c r="L25" s="434"/>
      <c r="M25" s="434"/>
      <c r="N25" s="435"/>
      <c r="O25" s="301"/>
      <c r="P25" s="119"/>
    </row>
    <row r="26" spans="1:16" ht="15" customHeight="1">
      <c r="A26" s="549" t="s">
        <v>243</v>
      </c>
      <c r="B26" s="549"/>
      <c r="C26" s="549"/>
      <c r="D26" s="549"/>
      <c r="E26" s="549"/>
      <c r="F26" s="549"/>
      <c r="G26" s="549"/>
      <c r="H26" s="549"/>
      <c r="I26" s="186" t="s">
        <v>583</v>
      </c>
      <c r="J26" s="436" t="s">
        <v>695</v>
      </c>
      <c r="K26" s="437" t="s">
        <v>914</v>
      </c>
      <c r="L26" s="437" t="s">
        <v>914</v>
      </c>
      <c r="M26" s="437" t="s">
        <v>914</v>
      </c>
      <c r="N26" s="438" t="s">
        <v>914</v>
      </c>
      <c r="O26" s="301"/>
      <c r="P26" s="119"/>
    </row>
    <row r="27" spans="1:16" ht="15" customHeight="1">
      <c r="A27" s="547" t="s">
        <v>696</v>
      </c>
      <c r="B27" s="547"/>
      <c r="C27" s="547"/>
      <c r="D27" s="547"/>
      <c r="E27" s="547"/>
      <c r="F27" s="547"/>
      <c r="G27" s="547"/>
      <c r="H27" s="547"/>
      <c r="I27" s="196" t="s">
        <v>584</v>
      </c>
      <c r="J27" s="427" t="s">
        <v>697</v>
      </c>
      <c r="K27" s="286" t="s">
        <v>914</v>
      </c>
      <c r="L27" s="286" t="s">
        <v>914</v>
      </c>
      <c r="M27" s="286" t="s">
        <v>914</v>
      </c>
      <c r="N27" s="428" t="s">
        <v>914</v>
      </c>
      <c r="O27" s="301"/>
      <c r="P27" s="119"/>
    </row>
    <row r="28" spans="1:16" ht="15" customHeight="1">
      <c r="A28" s="545" t="s">
        <v>699</v>
      </c>
      <c r="B28" s="545"/>
      <c r="C28" s="545"/>
      <c r="D28" s="545"/>
      <c r="E28" s="545"/>
      <c r="F28" s="545"/>
      <c r="G28" s="545"/>
      <c r="H28" s="545"/>
      <c r="I28" s="196" t="s">
        <v>587</v>
      </c>
      <c r="J28" s="427" t="s">
        <v>614</v>
      </c>
      <c r="K28" s="286" t="s">
        <v>914</v>
      </c>
      <c r="L28" s="286">
        <v>-13457009.1</v>
      </c>
      <c r="M28" s="286" t="s">
        <v>914</v>
      </c>
      <c r="N28" s="428">
        <v>-13457009.1</v>
      </c>
      <c r="O28" s="301"/>
      <c r="P28" s="119"/>
    </row>
    <row r="29" spans="1:16" ht="15" customHeight="1">
      <c r="A29" s="567" t="s">
        <v>248</v>
      </c>
      <c r="B29" s="567"/>
      <c r="C29" s="567"/>
      <c r="D29" s="567"/>
      <c r="E29" s="567"/>
      <c r="F29" s="567"/>
      <c r="G29" s="567"/>
      <c r="H29" s="567"/>
      <c r="I29" s="191"/>
      <c r="J29" s="429"/>
      <c r="K29" s="430"/>
      <c r="L29" s="430"/>
      <c r="M29" s="430"/>
      <c r="N29" s="431"/>
      <c r="O29" s="301"/>
      <c r="P29" s="119"/>
    </row>
    <row r="30" spans="1:16" ht="15" customHeight="1">
      <c r="A30" s="549" t="s">
        <v>700</v>
      </c>
      <c r="B30" s="549"/>
      <c r="C30" s="549"/>
      <c r="D30" s="549"/>
      <c r="E30" s="549"/>
      <c r="F30" s="549"/>
      <c r="G30" s="549"/>
      <c r="H30" s="549"/>
      <c r="I30" s="186" t="s">
        <v>589</v>
      </c>
      <c r="J30" s="436" t="s">
        <v>616</v>
      </c>
      <c r="K30" s="437" t="s">
        <v>914</v>
      </c>
      <c r="L30" s="437" t="s">
        <v>914</v>
      </c>
      <c r="M30" s="437" t="s">
        <v>914</v>
      </c>
      <c r="N30" s="438" t="s">
        <v>914</v>
      </c>
      <c r="O30" s="301"/>
      <c r="P30" s="119"/>
    </row>
    <row r="31" spans="1:16" ht="15" customHeight="1">
      <c r="A31" s="547" t="s">
        <v>701</v>
      </c>
      <c r="B31" s="547"/>
      <c r="C31" s="547"/>
      <c r="D31" s="547"/>
      <c r="E31" s="547"/>
      <c r="F31" s="547"/>
      <c r="G31" s="547"/>
      <c r="H31" s="547"/>
      <c r="I31" s="196" t="s">
        <v>702</v>
      </c>
      <c r="J31" s="427" t="s">
        <v>617</v>
      </c>
      <c r="K31" s="286" t="s">
        <v>914</v>
      </c>
      <c r="L31" s="286">
        <v>-13457009.1</v>
      </c>
      <c r="M31" s="286" t="s">
        <v>914</v>
      </c>
      <c r="N31" s="428">
        <v>-13457009.1</v>
      </c>
      <c r="O31" s="301"/>
      <c r="P31" s="119"/>
    </row>
    <row r="32" spans="1:16" ht="15" customHeight="1">
      <c r="A32" s="567" t="s">
        <v>999</v>
      </c>
      <c r="B32" s="567"/>
      <c r="C32" s="567"/>
      <c r="D32" s="567"/>
      <c r="E32" s="567"/>
      <c r="F32" s="567"/>
      <c r="G32" s="567"/>
      <c r="H32" s="567"/>
      <c r="I32" s="196"/>
      <c r="J32" s="427"/>
      <c r="K32" s="286"/>
      <c r="L32" s="286"/>
      <c r="M32" s="286"/>
      <c r="N32" s="428"/>
      <c r="O32" s="301"/>
      <c r="P32" s="119"/>
    </row>
    <row r="33" spans="1:16" ht="15" customHeight="1">
      <c r="A33" s="575" t="s">
        <v>244</v>
      </c>
      <c r="B33" s="575"/>
      <c r="C33" s="575"/>
      <c r="D33" s="575"/>
      <c r="E33" s="575"/>
      <c r="F33" s="575"/>
      <c r="G33" s="575"/>
      <c r="H33" s="575"/>
      <c r="I33" s="196" t="s">
        <v>591</v>
      </c>
      <c r="J33" s="427" t="s">
        <v>617</v>
      </c>
      <c r="K33" s="286" t="s">
        <v>914</v>
      </c>
      <c r="L33" s="286">
        <v>-13457009.1</v>
      </c>
      <c r="M33" s="286" t="s">
        <v>914</v>
      </c>
      <c r="N33" s="428">
        <v>-13457009.1</v>
      </c>
      <c r="O33" s="301"/>
      <c r="P33" s="119"/>
    </row>
    <row r="34" spans="1:16" ht="15" customHeight="1">
      <c r="A34" s="568" t="s">
        <v>245</v>
      </c>
      <c r="B34" s="568"/>
      <c r="C34" s="568"/>
      <c r="D34" s="568"/>
      <c r="E34" s="568"/>
      <c r="F34" s="568"/>
      <c r="G34" s="568"/>
      <c r="H34" s="568"/>
      <c r="I34" s="196" t="s">
        <v>246</v>
      </c>
      <c r="J34" s="427" t="s">
        <v>617</v>
      </c>
      <c r="K34" s="286" t="s">
        <v>914</v>
      </c>
      <c r="L34" s="286" t="s">
        <v>914</v>
      </c>
      <c r="M34" s="286" t="s">
        <v>914</v>
      </c>
      <c r="N34" s="428" t="s">
        <v>914</v>
      </c>
      <c r="O34" s="301"/>
      <c r="P34" s="119"/>
    </row>
    <row r="35" spans="1:16" ht="15" customHeight="1">
      <c r="A35" s="547" t="s">
        <v>703</v>
      </c>
      <c r="B35" s="547"/>
      <c r="C35" s="547"/>
      <c r="D35" s="547"/>
      <c r="E35" s="547"/>
      <c r="F35" s="547"/>
      <c r="G35" s="547"/>
      <c r="H35" s="547"/>
      <c r="I35" s="196" t="s">
        <v>247</v>
      </c>
      <c r="J35" s="427" t="s">
        <v>618</v>
      </c>
      <c r="K35" s="286" t="s">
        <v>914</v>
      </c>
      <c r="L35" s="286" t="s">
        <v>914</v>
      </c>
      <c r="M35" s="286" t="s">
        <v>914</v>
      </c>
      <c r="N35" s="428" t="s">
        <v>914</v>
      </c>
      <c r="O35" s="301"/>
      <c r="P35" s="119"/>
    </row>
    <row r="36" spans="1:16" ht="15" customHeight="1">
      <c r="A36" s="545" t="s">
        <v>143</v>
      </c>
      <c r="B36" s="545"/>
      <c r="C36" s="545"/>
      <c r="D36" s="545"/>
      <c r="E36" s="545"/>
      <c r="F36" s="545"/>
      <c r="G36" s="545"/>
      <c r="H36" s="545"/>
      <c r="I36" s="196" t="s">
        <v>595</v>
      </c>
      <c r="J36" s="427" t="s">
        <v>704</v>
      </c>
      <c r="K36" s="286">
        <v>84451757.69</v>
      </c>
      <c r="L36" s="286">
        <v>18164400.56</v>
      </c>
      <c r="M36" s="286" t="s">
        <v>914</v>
      </c>
      <c r="N36" s="428">
        <v>102616158.25</v>
      </c>
      <c r="O36" s="301"/>
      <c r="P36" s="119"/>
    </row>
    <row r="37" spans="1:16" ht="15" customHeight="1">
      <c r="A37" s="568" t="s">
        <v>248</v>
      </c>
      <c r="B37" s="568"/>
      <c r="C37" s="568"/>
      <c r="D37" s="568"/>
      <c r="E37" s="568"/>
      <c r="F37" s="568"/>
      <c r="G37" s="568"/>
      <c r="H37" s="568"/>
      <c r="I37" s="196"/>
      <c r="J37" s="427"/>
      <c r="K37" s="286"/>
      <c r="L37" s="286"/>
      <c r="M37" s="286"/>
      <c r="N37" s="428"/>
      <c r="O37" s="301"/>
      <c r="P37" s="119"/>
    </row>
    <row r="38" spans="1:16" ht="15" customHeight="1">
      <c r="A38" s="547" t="s">
        <v>249</v>
      </c>
      <c r="B38" s="547"/>
      <c r="C38" s="547"/>
      <c r="D38" s="547"/>
      <c r="E38" s="547"/>
      <c r="F38" s="547"/>
      <c r="G38" s="547"/>
      <c r="H38" s="547"/>
      <c r="I38" s="196" t="s">
        <v>597</v>
      </c>
      <c r="J38" s="427" t="s">
        <v>704</v>
      </c>
      <c r="K38" s="286" t="s">
        <v>914</v>
      </c>
      <c r="L38" s="286">
        <v>15614066</v>
      </c>
      <c r="M38" s="286" t="s">
        <v>914</v>
      </c>
      <c r="N38" s="428">
        <v>15614066</v>
      </c>
      <c r="O38" s="301"/>
      <c r="P38" s="119"/>
    </row>
    <row r="39" spans="1:16" ht="15" customHeight="1">
      <c r="A39" s="547" t="s">
        <v>250</v>
      </c>
      <c r="B39" s="547"/>
      <c r="C39" s="547"/>
      <c r="D39" s="547"/>
      <c r="E39" s="547"/>
      <c r="F39" s="547"/>
      <c r="G39" s="547"/>
      <c r="H39" s="547"/>
      <c r="I39" s="196" t="s">
        <v>957</v>
      </c>
      <c r="J39" s="427" t="s">
        <v>704</v>
      </c>
      <c r="K39" s="286">
        <v>84723198.3</v>
      </c>
      <c r="L39" s="286" t="s">
        <v>914</v>
      </c>
      <c r="M39" s="286" t="s">
        <v>914</v>
      </c>
      <c r="N39" s="428">
        <v>84723198.3</v>
      </c>
      <c r="O39" s="301"/>
      <c r="P39" s="119"/>
    </row>
    <row r="40" spans="1:16" ht="15" customHeight="1">
      <c r="A40" s="547" t="s">
        <v>251</v>
      </c>
      <c r="B40" s="547"/>
      <c r="C40" s="547"/>
      <c r="D40" s="547"/>
      <c r="E40" s="547"/>
      <c r="F40" s="547"/>
      <c r="G40" s="547"/>
      <c r="H40" s="547"/>
      <c r="I40" s="196" t="s">
        <v>599</v>
      </c>
      <c r="J40" s="427" t="s">
        <v>704</v>
      </c>
      <c r="K40" s="286" t="s">
        <v>914</v>
      </c>
      <c r="L40" s="286" t="s">
        <v>914</v>
      </c>
      <c r="M40" s="286" t="s">
        <v>914</v>
      </c>
      <c r="N40" s="428" t="s">
        <v>914</v>
      </c>
      <c r="O40" s="301"/>
      <c r="P40" s="119"/>
    </row>
    <row r="41" spans="1:16" ht="15" customHeight="1">
      <c r="A41" s="547" t="s">
        <v>252</v>
      </c>
      <c r="B41" s="547"/>
      <c r="C41" s="547"/>
      <c r="D41" s="547"/>
      <c r="E41" s="547"/>
      <c r="F41" s="547"/>
      <c r="G41" s="547"/>
      <c r="H41" s="547"/>
      <c r="I41" s="196" t="s">
        <v>601</v>
      </c>
      <c r="J41" s="427" t="s">
        <v>704</v>
      </c>
      <c r="K41" s="286">
        <v>-271440.61</v>
      </c>
      <c r="L41" s="286">
        <v>2550334.56</v>
      </c>
      <c r="M41" s="286" t="s">
        <v>914</v>
      </c>
      <c r="N41" s="428">
        <v>2278893.95</v>
      </c>
      <c r="O41" s="301"/>
      <c r="P41" s="119"/>
    </row>
    <row r="42" spans="1:16" ht="15" customHeight="1" thickBot="1">
      <c r="A42" s="545" t="s">
        <v>142</v>
      </c>
      <c r="B42" s="545"/>
      <c r="C42" s="545"/>
      <c r="D42" s="545"/>
      <c r="E42" s="545"/>
      <c r="F42" s="545"/>
      <c r="G42" s="545"/>
      <c r="H42" s="545"/>
      <c r="I42" s="201" t="s">
        <v>607</v>
      </c>
      <c r="J42" s="382" t="s">
        <v>609</v>
      </c>
      <c r="K42" s="439" t="s">
        <v>914</v>
      </c>
      <c r="L42" s="439" t="s">
        <v>914</v>
      </c>
      <c r="M42" s="439" t="s">
        <v>914</v>
      </c>
      <c r="N42" s="440" t="s">
        <v>914</v>
      </c>
      <c r="O42" s="301"/>
      <c r="P42" s="119"/>
    </row>
    <row r="43" spans="1:16" ht="15" customHeight="1">
      <c r="A43" s="441"/>
      <c r="B43" s="441"/>
      <c r="C43" s="441"/>
      <c r="D43" s="441"/>
      <c r="E43" s="441"/>
      <c r="F43" s="441"/>
      <c r="G43" s="441"/>
      <c r="H43" s="441"/>
      <c r="I43" s="206"/>
      <c r="J43" s="206"/>
      <c r="K43" s="442"/>
      <c r="L43" s="442"/>
      <c r="M43" s="442"/>
      <c r="N43" s="442"/>
      <c r="O43" s="291"/>
      <c r="P43" s="119"/>
    </row>
    <row r="44" spans="1:16" ht="15" customHeight="1">
      <c r="A44" s="443"/>
      <c r="B44" s="153"/>
      <c r="C44" s="153"/>
      <c r="D44" s="153"/>
      <c r="E44" s="153"/>
      <c r="F44" s="153"/>
      <c r="G44" s="153"/>
      <c r="H44" s="153"/>
      <c r="I44" s="210"/>
      <c r="J44" s="210"/>
      <c r="K44" s="210"/>
      <c r="L44" s="210"/>
      <c r="M44" s="210"/>
      <c r="N44" s="210" t="s">
        <v>253</v>
      </c>
      <c r="O44" s="291"/>
      <c r="P44" s="119"/>
    </row>
    <row r="45" spans="1:16" ht="15" customHeight="1">
      <c r="A45" s="539" t="s">
        <v>266</v>
      </c>
      <c r="B45" s="539"/>
      <c r="C45" s="539"/>
      <c r="D45" s="539"/>
      <c r="E45" s="539"/>
      <c r="F45" s="539"/>
      <c r="G45" s="539"/>
      <c r="H45" s="539"/>
      <c r="I45" s="538" t="s">
        <v>235</v>
      </c>
      <c r="J45" s="505" t="s">
        <v>236</v>
      </c>
      <c r="K45" s="444" t="s">
        <v>237</v>
      </c>
      <c r="L45" s="445" t="s">
        <v>1151</v>
      </c>
      <c r="M45" s="445" t="s">
        <v>1152</v>
      </c>
      <c r="N45" s="546" t="s">
        <v>692</v>
      </c>
      <c r="O45" s="291"/>
      <c r="P45" s="119"/>
    </row>
    <row r="46" spans="1:16" ht="15" customHeight="1">
      <c r="A46" s="539"/>
      <c r="B46" s="539"/>
      <c r="C46" s="539"/>
      <c r="D46" s="539"/>
      <c r="E46" s="539"/>
      <c r="F46" s="539"/>
      <c r="G46" s="539"/>
      <c r="H46" s="539"/>
      <c r="I46" s="538"/>
      <c r="J46" s="505"/>
      <c r="K46" s="446" t="s">
        <v>1153</v>
      </c>
      <c r="L46" s="447" t="s">
        <v>1154</v>
      </c>
      <c r="M46" s="447" t="s">
        <v>1155</v>
      </c>
      <c r="N46" s="546"/>
      <c r="O46" s="291"/>
      <c r="P46" s="119"/>
    </row>
    <row r="47" spans="1:16" ht="15" customHeight="1" thickBot="1">
      <c r="A47" s="560">
        <v>1</v>
      </c>
      <c r="B47" s="560"/>
      <c r="C47" s="560"/>
      <c r="D47" s="560"/>
      <c r="E47" s="560"/>
      <c r="F47" s="560"/>
      <c r="G47" s="560"/>
      <c r="H47" s="560"/>
      <c r="I47" s="176" t="s">
        <v>560</v>
      </c>
      <c r="J47" s="177">
        <v>3</v>
      </c>
      <c r="K47" s="176" t="s">
        <v>1156</v>
      </c>
      <c r="L47" s="176" t="s">
        <v>1157</v>
      </c>
      <c r="M47" s="176" t="s">
        <v>561</v>
      </c>
      <c r="N47" s="422" t="s">
        <v>562</v>
      </c>
      <c r="O47" s="291"/>
      <c r="P47" s="119"/>
    </row>
    <row r="48" spans="1:16" ht="23.25" customHeight="1">
      <c r="A48" s="569" t="s">
        <v>255</v>
      </c>
      <c r="B48" s="569"/>
      <c r="C48" s="569"/>
      <c r="D48" s="569"/>
      <c r="E48" s="569"/>
      <c r="F48" s="569"/>
      <c r="G48" s="569"/>
      <c r="H48" s="569"/>
      <c r="I48" s="224" t="s">
        <v>612</v>
      </c>
      <c r="J48" s="423" t="s">
        <v>705</v>
      </c>
      <c r="K48" s="425">
        <v>76478803.3</v>
      </c>
      <c r="L48" s="425">
        <v>148289674.28</v>
      </c>
      <c r="M48" s="425" t="s">
        <v>914</v>
      </c>
      <c r="N48" s="426">
        <v>224768477.58</v>
      </c>
      <c r="O48" s="301"/>
      <c r="P48" s="119"/>
    </row>
    <row r="49" spans="1:16" ht="15" customHeight="1">
      <c r="A49" s="545" t="s">
        <v>706</v>
      </c>
      <c r="B49" s="545"/>
      <c r="C49" s="545"/>
      <c r="D49" s="545"/>
      <c r="E49" s="545"/>
      <c r="F49" s="545"/>
      <c r="G49" s="545"/>
      <c r="H49" s="545"/>
      <c r="I49" s="196" t="s">
        <v>698</v>
      </c>
      <c r="J49" s="427" t="s">
        <v>631</v>
      </c>
      <c r="K49" s="286" t="s">
        <v>914</v>
      </c>
      <c r="L49" s="286">
        <v>16127855.5</v>
      </c>
      <c r="M49" s="286" t="s">
        <v>914</v>
      </c>
      <c r="N49" s="428">
        <v>16127855.5</v>
      </c>
      <c r="O49" s="301"/>
      <c r="P49" s="119"/>
    </row>
    <row r="50" spans="1:16" ht="15" customHeight="1">
      <c r="A50" s="567" t="s">
        <v>248</v>
      </c>
      <c r="B50" s="567"/>
      <c r="C50" s="567"/>
      <c r="D50" s="567"/>
      <c r="E50" s="567"/>
      <c r="F50" s="567"/>
      <c r="G50" s="567"/>
      <c r="H50" s="567"/>
      <c r="I50" s="191"/>
      <c r="J50" s="429"/>
      <c r="K50" s="448"/>
      <c r="L50" s="448"/>
      <c r="M50" s="448"/>
      <c r="N50" s="449"/>
      <c r="O50" s="301"/>
      <c r="P50" s="119"/>
    </row>
    <row r="51" spans="1:16" ht="15" customHeight="1">
      <c r="A51" s="549" t="s">
        <v>707</v>
      </c>
      <c r="B51" s="549"/>
      <c r="C51" s="549"/>
      <c r="D51" s="549"/>
      <c r="E51" s="549"/>
      <c r="F51" s="549"/>
      <c r="G51" s="549"/>
      <c r="H51" s="549"/>
      <c r="I51" s="186" t="s">
        <v>708</v>
      </c>
      <c r="J51" s="436" t="s">
        <v>633</v>
      </c>
      <c r="K51" s="437" t="s">
        <v>914</v>
      </c>
      <c r="L51" s="437">
        <v>12244368.54</v>
      </c>
      <c r="M51" s="437" t="s">
        <v>914</v>
      </c>
      <c r="N51" s="438">
        <v>12244368.54</v>
      </c>
      <c r="O51" s="301"/>
      <c r="P51" s="119"/>
    </row>
    <row r="52" spans="1:16" ht="15" customHeight="1">
      <c r="A52" s="547" t="s">
        <v>256</v>
      </c>
      <c r="B52" s="547"/>
      <c r="C52" s="547"/>
      <c r="D52" s="547"/>
      <c r="E52" s="547"/>
      <c r="F52" s="547"/>
      <c r="G52" s="547"/>
      <c r="H52" s="547"/>
      <c r="I52" s="196" t="s">
        <v>709</v>
      </c>
      <c r="J52" s="427" t="s">
        <v>635</v>
      </c>
      <c r="K52" s="286" t="s">
        <v>914</v>
      </c>
      <c r="L52" s="286">
        <v>319562.74</v>
      </c>
      <c r="M52" s="286" t="s">
        <v>914</v>
      </c>
      <c r="N52" s="428">
        <v>319562.74</v>
      </c>
      <c r="O52" s="301"/>
      <c r="P52" s="119"/>
    </row>
    <row r="53" spans="1:16" ht="15" customHeight="1">
      <c r="A53" s="547" t="s">
        <v>710</v>
      </c>
      <c r="B53" s="547"/>
      <c r="C53" s="547"/>
      <c r="D53" s="547"/>
      <c r="E53" s="547"/>
      <c r="F53" s="547"/>
      <c r="G53" s="547"/>
      <c r="H53" s="547"/>
      <c r="I53" s="196" t="s">
        <v>711</v>
      </c>
      <c r="J53" s="427" t="s">
        <v>637</v>
      </c>
      <c r="K53" s="286" t="s">
        <v>914</v>
      </c>
      <c r="L53" s="286">
        <v>3563924.22</v>
      </c>
      <c r="M53" s="286" t="s">
        <v>914</v>
      </c>
      <c r="N53" s="428">
        <v>3563924.22</v>
      </c>
      <c r="O53" s="301"/>
      <c r="P53" s="119"/>
    </row>
    <row r="54" spans="1:16" ht="15" customHeight="1">
      <c r="A54" s="545" t="s">
        <v>712</v>
      </c>
      <c r="B54" s="545"/>
      <c r="C54" s="545"/>
      <c r="D54" s="545"/>
      <c r="E54" s="545"/>
      <c r="F54" s="545"/>
      <c r="G54" s="545"/>
      <c r="H54" s="545"/>
      <c r="I54" s="196" t="s">
        <v>614</v>
      </c>
      <c r="J54" s="427" t="s">
        <v>713</v>
      </c>
      <c r="K54" s="286">
        <v>76343157.14</v>
      </c>
      <c r="L54" s="286">
        <v>125650181.73</v>
      </c>
      <c r="M54" s="286" t="s">
        <v>914</v>
      </c>
      <c r="N54" s="428">
        <v>201993338.87</v>
      </c>
      <c r="O54" s="301"/>
      <c r="P54" s="119"/>
    </row>
    <row r="55" spans="1:16" ht="15" customHeight="1">
      <c r="A55" s="567" t="s">
        <v>248</v>
      </c>
      <c r="B55" s="567"/>
      <c r="C55" s="567"/>
      <c r="D55" s="567"/>
      <c r="E55" s="567"/>
      <c r="F55" s="567"/>
      <c r="G55" s="567"/>
      <c r="H55" s="567"/>
      <c r="I55" s="191"/>
      <c r="J55" s="429"/>
      <c r="K55" s="448"/>
      <c r="L55" s="448"/>
      <c r="M55" s="448"/>
      <c r="N55" s="449"/>
      <c r="O55" s="301"/>
      <c r="P55" s="119"/>
    </row>
    <row r="56" spans="1:16" ht="15" customHeight="1">
      <c r="A56" s="549" t="s">
        <v>714</v>
      </c>
      <c r="B56" s="549"/>
      <c r="C56" s="549"/>
      <c r="D56" s="549"/>
      <c r="E56" s="549"/>
      <c r="F56" s="549"/>
      <c r="G56" s="549"/>
      <c r="H56" s="549"/>
      <c r="I56" s="186" t="s">
        <v>616</v>
      </c>
      <c r="J56" s="436" t="s">
        <v>715</v>
      </c>
      <c r="K56" s="437" t="s">
        <v>914</v>
      </c>
      <c r="L56" s="437">
        <v>1958778.49</v>
      </c>
      <c r="M56" s="437" t="s">
        <v>914</v>
      </c>
      <c r="N56" s="438">
        <v>1958778.49</v>
      </c>
      <c r="O56" s="301"/>
      <c r="P56" s="119"/>
    </row>
    <row r="57" spans="1:16" ht="15" customHeight="1">
      <c r="A57" s="547" t="s">
        <v>716</v>
      </c>
      <c r="B57" s="547"/>
      <c r="C57" s="547"/>
      <c r="D57" s="547"/>
      <c r="E57" s="547"/>
      <c r="F57" s="547"/>
      <c r="G57" s="547"/>
      <c r="H57" s="547"/>
      <c r="I57" s="196" t="s">
        <v>617</v>
      </c>
      <c r="J57" s="427" t="s">
        <v>717</v>
      </c>
      <c r="K57" s="286" t="s">
        <v>914</v>
      </c>
      <c r="L57" s="286">
        <v>98304.85</v>
      </c>
      <c r="M57" s="286" t="s">
        <v>914</v>
      </c>
      <c r="N57" s="428">
        <v>98304.85</v>
      </c>
      <c r="O57" s="301"/>
      <c r="P57" s="119"/>
    </row>
    <row r="58" spans="1:16" ht="15" customHeight="1">
      <c r="A58" s="547" t="s">
        <v>718</v>
      </c>
      <c r="B58" s="547"/>
      <c r="C58" s="547"/>
      <c r="D58" s="547"/>
      <c r="E58" s="547"/>
      <c r="F58" s="547"/>
      <c r="G58" s="547"/>
      <c r="H58" s="547"/>
      <c r="I58" s="196" t="s">
        <v>618</v>
      </c>
      <c r="J58" s="427" t="s">
        <v>719</v>
      </c>
      <c r="K58" s="286">
        <v>13744481.32</v>
      </c>
      <c r="L58" s="286">
        <v>92415815.26</v>
      </c>
      <c r="M58" s="286" t="s">
        <v>914</v>
      </c>
      <c r="N58" s="428">
        <v>106160296.58</v>
      </c>
      <c r="O58" s="301"/>
      <c r="P58" s="119"/>
    </row>
    <row r="59" spans="1:16" ht="15" customHeight="1">
      <c r="A59" s="547" t="s">
        <v>720</v>
      </c>
      <c r="B59" s="547"/>
      <c r="C59" s="547"/>
      <c r="D59" s="547"/>
      <c r="E59" s="547"/>
      <c r="F59" s="547"/>
      <c r="G59" s="547"/>
      <c r="H59" s="547"/>
      <c r="I59" s="196" t="s">
        <v>620</v>
      </c>
      <c r="J59" s="427" t="s">
        <v>721</v>
      </c>
      <c r="K59" s="286" t="s">
        <v>914</v>
      </c>
      <c r="L59" s="286" t="s">
        <v>914</v>
      </c>
      <c r="M59" s="286" t="s">
        <v>914</v>
      </c>
      <c r="N59" s="428" t="s">
        <v>914</v>
      </c>
      <c r="O59" s="301"/>
      <c r="P59" s="119"/>
    </row>
    <row r="60" spans="1:16" ht="15" customHeight="1">
      <c r="A60" s="547" t="s">
        <v>722</v>
      </c>
      <c r="B60" s="547"/>
      <c r="C60" s="547"/>
      <c r="D60" s="547"/>
      <c r="E60" s="547"/>
      <c r="F60" s="547"/>
      <c r="G60" s="547"/>
      <c r="H60" s="547"/>
      <c r="I60" s="196" t="s">
        <v>622</v>
      </c>
      <c r="J60" s="427" t="s">
        <v>723</v>
      </c>
      <c r="K60" s="286">
        <v>52693939.35</v>
      </c>
      <c r="L60" s="286">
        <v>29898130.12</v>
      </c>
      <c r="M60" s="286" t="s">
        <v>914</v>
      </c>
      <c r="N60" s="428">
        <v>82592069.47</v>
      </c>
      <c r="O60" s="301"/>
      <c r="P60" s="119"/>
    </row>
    <row r="61" spans="1:16" ht="15" customHeight="1">
      <c r="A61" s="547" t="s">
        <v>724</v>
      </c>
      <c r="B61" s="547"/>
      <c r="C61" s="547"/>
      <c r="D61" s="547"/>
      <c r="E61" s="547"/>
      <c r="F61" s="547"/>
      <c r="G61" s="547"/>
      <c r="H61" s="547"/>
      <c r="I61" s="196" t="s">
        <v>624</v>
      </c>
      <c r="J61" s="427" t="s">
        <v>725</v>
      </c>
      <c r="K61" s="286">
        <v>9904736.47</v>
      </c>
      <c r="L61" s="286">
        <v>1279153.01</v>
      </c>
      <c r="M61" s="286" t="s">
        <v>914</v>
      </c>
      <c r="N61" s="428">
        <v>11183889.48</v>
      </c>
      <c r="O61" s="301"/>
      <c r="P61" s="119"/>
    </row>
    <row r="62" spans="1:16" ht="15" customHeight="1">
      <c r="A62" s="545" t="s">
        <v>257</v>
      </c>
      <c r="B62" s="545"/>
      <c r="C62" s="545"/>
      <c r="D62" s="545"/>
      <c r="E62" s="545"/>
      <c r="F62" s="545"/>
      <c r="G62" s="545"/>
      <c r="H62" s="545"/>
      <c r="I62" s="196" t="s">
        <v>726</v>
      </c>
      <c r="J62" s="427" t="s">
        <v>638</v>
      </c>
      <c r="K62" s="286" t="s">
        <v>914</v>
      </c>
      <c r="L62" s="286" t="s">
        <v>914</v>
      </c>
      <c r="M62" s="286" t="s">
        <v>914</v>
      </c>
      <c r="N62" s="428" t="s">
        <v>914</v>
      </c>
      <c r="O62" s="301"/>
      <c r="P62" s="119"/>
    </row>
    <row r="63" spans="1:16" ht="15" customHeight="1">
      <c r="A63" s="567" t="s">
        <v>248</v>
      </c>
      <c r="B63" s="567"/>
      <c r="C63" s="567"/>
      <c r="D63" s="567"/>
      <c r="E63" s="567"/>
      <c r="F63" s="567"/>
      <c r="G63" s="567"/>
      <c r="H63" s="567"/>
      <c r="I63" s="191"/>
      <c r="J63" s="429"/>
      <c r="K63" s="448"/>
      <c r="L63" s="448"/>
      <c r="M63" s="448"/>
      <c r="N63" s="449"/>
      <c r="O63" s="301"/>
      <c r="P63" s="119"/>
    </row>
    <row r="64" spans="1:16" ht="15" customHeight="1">
      <c r="A64" s="549" t="s">
        <v>258</v>
      </c>
      <c r="B64" s="549"/>
      <c r="C64" s="549"/>
      <c r="D64" s="549"/>
      <c r="E64" s="549"/>
      <c r="F64" s="549"/>
      <c r="G64" s="549"/>
      <c r="H64" s="549"/>
      <c r="I64" s="186" t="s">
        <v>727</v>
      </c>
      <c r="J64" s="436" t="s">
        <v>728</v>
      </c>
      <c r="K64" s="437" t="s">
        <v>914</v>
      </c>
      <c r="L64" s="437" t="s">
        <v>914</v>
      </c>
      <c r="M64" s="437" t="s">
        <v>914</v>
      </c>
      <c r="N64" s="438" t="s">
        <v>914</v>
      </c>
      <c r="O64" s="301"/>
      <c r="P64" s="119"/>
    </row>
    <row r="65" spans="1:16" ht="15" customHeight="1">
      <c r="A65" s="547" t="s">
        <v>259</v>
      </c>
      <c r="B65" s="547"/>
      <c r="C65" s="547"/>
      <c r="D65" s="547"/>
      <c r="E65" s="547"/>
      <c r="F65" s="547"/>
      <c r="G65" s="547"/>
      <c r="H65" s="547"/>
      <c r="I65" s="196" t="s">
        <v>729</v>
      </c>
      <c r="J65" s="427" t="s">
        <v>730</v>
      </c>
      <c r="K65" s="286" t="s">
        <v>914</v>
      </c>
      <c r="L65" s="286" t="s">
        <v>914</v>
      </c>
      <c r="M65" s="286" t="s">
        <v>914</v>
      </c>
      <c r="N65" s="428" t="s">
        <v>914</v>
      </c>
      <c r="O65" s="301"/>
      <c r="P65" s="119"/>
    </row>
    <row r="66" spans="1:16" ht="15" customHeight="1">
      <c r="A66" s="545" t="s">
        <v>731</v>
      </c>
      <c r="B66" s="545"/>
      <c r="C66" s="545"/>
      <c r="D66" s="545"/>
      <c r="E66" s="545"/>
      <c r="F66" s="545"/>
      <c r="G66" s="545"/>
      <c r="H66" s="545"/>
      <c r="I66" s="196" t="s">
        <v>631</v>
      </c>
      <c r="J66" s="427" t="s">
        <v>732</v>
      </c>
      <c r="K66" s="286" t="s">
        <v>914</v>
      </c>
      <c r="L66" s="286">
        <v>1036336.36</v>
      </c>
      <c r="M66" s="286" t="s">
        <v>914</v>
      </c>
      <c r="N66" s="428">
        <v>1036336.36</v>
      </c>
      <c r="O66" s="301"/>
      <c r="P66" s="119"/>
    </row>
    <row r="67" spans="1:16" ht="15" customHeight="1">
      <c r="A67" s="567" t="s">
        <v>248</v>
      </c>
      <c r="B67" s="567"/>
      <c r="C67" s="567"/>
      <c r="D67" s="567"/>
      <c r="E67" s="567"/>
      <c r="F67" s="567"/>
      <c r="G67" s="567"/>
      <c r="H67" s="567"/>
      <c r="I67" s="191"/>
      <c r="J67" s="429"/>
      <c r="K67" s="448"/>
      <c r="L67" s="448"/>
      <c r="M67" s="448"/>
      <c r="N67" s="449"/>
      <c r="O67" s="301"/>
      <c r="P67" s="119"/>
    </row>
    <row r="68" spans="1:16" ht="15" customHeight="1">
      <c r="A68" s="548" t="s">
        <v>260</v>
      </c>
      <c r="B68" s="548"/>
      <c r="C68" s="548"/>
      <c r="D68" s="548"/>
      <c r="E68" s="548"/>
      <c r="F68" s="548"/>
      <c r="G68" s="548"/>
      <c r="H68" s="548"/>
      <c r="I68" s="432"/>
      <c r="J68" s="433"/>
      <c r="K68" s="450"/>
      <c r="L68" s="450"/>
      <c r="M68" s="450"/>
      <c r="N68" s="451"/>
      <c r="O68" s="301"/>
      <c r="P68" s="119"/>
    </row>
    <row r="69" spans="1:16" ht="15" customHeight="1">
      <c r="A69" s="549" t="s">
        <v>261</v>
      </c>
      <c r="B69" s="549"/>
      <c r="C69" s="549"/>
      <c r="D69" s="549"/>
      <c r="E69" s="549"/>
      <c r="F69" s="549"/>
      <c r="G69" s="549"/>
      <c r="H69" s="549"/>
      <c r="I69" s="186" t="s">
        <v>633</v>
      </c>
      <c r="J69" s="436" t="s">
        <v>733</v>
      </c>
      <c r="K69" s="437" t="s">
        <v>914</v>
      </c>
      <c r="L69" s="437">
        <v>1036336.36</v>
      </c>
      <c r="M69" s="437" t="s">
        <v>914</v>
      </c>
      <c r="N69" s="438">
        <v>1036336.36</v>
      </c>
      <c r="O69" s="301"/>
      <c r="P69" s="119"/>
    </row>
    <row r="70" spans="1:16" ht="15" customHeight="1">
      <c r="A70" s="574" t="s">
        <v>1158</v>
      </c>
      <c r="B70" s="574"/>
      <c r="C70" s="574"/>
      <c r="D70" s="574"/>
      <c r="E70" s="574"/>
      <c r="F70" s="574"/>
      <c r="G70" s="574"/>
      <c r="H70" s="574"/>
      <c r="I70" s="191"/>
      <c r="J70" s="429"/>
      <c r="K70" s="448"/>
      <c r="L70" s="448"/>
      <c r="M70" s="448"/>
      <c r="N70" s="449"/>
      <c r="O70" s="301"/>
      <c r="P70" s="119"/>
    </row>
    <row r="71" spans="1:16" ht="15" customHeight="1">
      <c r="A71" s="549" t="s">
        <v>1159</v>
      </c>
      <c r="B71" s="549"/>
      <c r="C71" s="549"/>
      <c r="D71" s="549"/>
      <c r="E71" s="549"/>
      <c r="F71" s="549"/>
      <c r="G71" s="549"/>
      <c r="H71" s="549"/>
      <c r="I71" s="186" t="s">
        <v>635</v>
      </c>
      <c r="J71" s="436" t="s">
        <v>734</v>
      </c>
      <c r="K71" s="437" t="s">
        <v>914</v>
      </c>
      <c r="L71" s="437" t="s">
        <v>914</v>
      </c>
      <c r="M71" s="437" t="s">
        <v>914</v>
      </c>
      <c r="N71" s="438" t="s">
        <v>914</v>
      </c>
      <c r="O71" s="301"/>
      <c r="P71" s="119"/>
    </row>
    <row r="72" spans="1:16" ht="15" customHeight="1">
      <c r="A72" s="545" t="s">
        <v>735</v>
      </c>
      <c r="B72" s="545"/>
      <c r="C72" s="545"/>
      <c r="D72" s="545"/>
      <c r="E72" s="545"/>
      <c r="F72" s="545"/>
      <c r="G72" s="545"/>
      <c r="H72" s="545"/>
      <c r="I72" s="196" t="s">
        <v>638</v>
      </c>
      <c r="J72" s="427" t="s">
        <v>736</v>
      </c>
      <c r="K72" s="286" t="s">
        <v>914</v>
      </c>
      <c r="L72" s="286" t="s">
        <v>914</v>
      </c>
      <c r="M72" s="286" t="s">
        <v>914</v>
      </c>
      <c r="N72" s="428" t="s">
        <v>914</v>
      </c>
      <c r="O72" s="301"/>
      <c r="P72" s="119"/>
    </row>
    <row r="73" spans="1:16" ht="15" customHeight="1">
      <c r="A73" s="567" t="s">
        <v>248</v>
      </c>
      <c r="B73" s="567"/>
      <c r="C73" s="567"/>
      <c r="D73" s="567"/>
      <c r="E73" s="567"/>
      <c r="F73" s="567"/>
      <c r="G73" s="567"/>
      <c r="H73" s="567"/>
      <c r="I73" s="191"/>
      <c r="J73" s="429"/>
      <c r="K73" s="448"/>
      <c r="L73" s="448"/>
      <c r="M73" s="448"/>
      <c r="N73" s="449"/>
      <c r="O73" s="301"/>
      <c r="P73" s="119"/>
    </row>
    <row r="74" spans="1:16" ht="15" customHeight="1">
      <c r="A74" s="548" t="s">
        <v>262</v>
      </c>
      <c r="B74" s="548"/>
      <c r="C74" s="548"/>
      <c r="D74" s="548"/>
      <c r="E74" s="548"/>
      <c r="F74" s="548"/>
      <c r="G74" s="548"/>
      <c r="H74" s="548"/>
      <c r="I74" s="432"/>
      <c r="J74" s="433"/>
      <c r="K74" s="450"/>
      <c r="L74" s="450"/>
      <c r="M74" s="450"/>
      <c r="N74" s="451"/>
      <c r="O74" s="301"/>
      <c r="P74" s="119"/>
    </row>
    <row r="75" spans="1:16" ht="15" customHeight="1">
      <c r="A75" s="549" t="s">
        <v>243</v>
      </c>
      <c r="B75" s="549"/>
      <c r="C75" s="549"/>
      <c r="D75" s="549"/>
      <c r="E75" s="549"/>
      <c r="F75" s="549"/>
      <c r="G75" s="549"/>
      <c r="H75" s="549"/>
      <c r="I75" s="186" t="s">
        <v>730</v>
      </c>
      <c r="J75" s="436" t="s">
        <v>737</v>
      </c>
      <c r="K75" s="437" t="s">
        <v>914</v>
      </c>
      <c r="L75" s="437" t="s">
        <v>914</v>
      </c>
      <c r="M75" s="437" t="s">
        <v>914</v>
      </c>
      <c r="N75" s="438" t="s">
        <v>914</v>
      </c>
      <c r="O75" s="301"/>
      <c r="P75" s="119"/>
    </row>
    <row r="76" spans="1:16" ht="15" customHeight="1">
      <c r="A76" s="547" t="s">
        <v>738</v>
      </c>
      <c r="B76" s="547"/>
      <c r="C76" s="547"/>
      <c r="D76" s="547"/>
      <c r="E76" s="547"/>
      <c r="F76" s="547"/>
      <c r="G76" s="547"/>
      <c r="H76" s="547"/>
      <c r="I76" s="196" t="s">
        <v>739</v>
      </c>
      <c r="J76" s="427" t="s">
        <v>740</v>
      </c>
      <c r="K76" s="286" t="s">
        <v>914</v>
      </c>
      <c r="L76" s="286" t="s">
        <v>914</v>
      </c>
      <c r="M76" s="286" t="s">
        <v>914</v>
      </c>
      <c r="N76" s="428" t="s">
        <v>914</v>
      </c>
      <c r="O76" s="301"/>
      <c r="P76" s="119"/>
    </row>
    <row r="77" spans="1:16" ht="15" customHeight="1">
      <c r="A77" s="545" t="s">
        <v>741</v>
      </c>
      <c r="B77" s="545"/>
      <c r="C77" s="545"/>
      <c r="D77" s="545"/>
      <c r="E77" s="545"/>
      <c r="F77" s="545"/>
      <c r="G77" s="545"/>
      <c r="H77" s="545"/>
      <c r="I77" s="196" t="s">
        <v>732</v>
      </c>
      <c r="J77" s="427" t="s">
        <v>639</v>
      </c>
      <c r="K77" s="286">
        <v>1980.16</v>
      </c>
      <c r="L77" s="286" t="s">
        <v>914</v>
      </c>
      <c r="M77" s="286" t="s">
        <v>914</v>
      </c>
      <c r="N77" s="428">
        <v>1980.16</v>
      </c>
      <c r="O77" s="301"/>
      <c r="P77" s="119"/>
    </row>
    <row r="78" spans="1:16" ht="15" customHeight="1">
      <c r="A78" s="567" t="s">
        <v>248</v>
      </c>
      <c r="B78" s="567"/>
      <c r="C78" s="567"/>
      <c r="D78" s="567"/>
      <c r="E78" s="567"/>
      <c r="F78" s="567"/>
      <c r="G78" s="567"/>
      <c r="H78" s="567"/>
      <c r="I78" s="191"/>
      <c r="J78" s="429"/>
      <c r="K78" s="448"/>
      <c r="L78" s="448"/>
      <c r="M78" s="448"/>
      <c r="N78" s="449"/>
      <c r="O78" s="301"/>
      <c r="P78" s="119"/>
    </row>
    <row r="79" spans="1:16" ht="15" customHeight="1">
      <c r="A79" s="549" t="s">
        <v>743</v>
      </c>
      <c r="B79" s="549"/>
      <c r="C79" s="549"/>
      <c r="D79" s="549"/>
      <c r="E79" s="549"/>
      <c r="F79" s="549"/>
      <c r="G79" s="549"/>
      <c r="H79" s="549"/>
      <c r="I79" s="186" t="s">
        <v>734</v>
      </c>
      <c r="J79" s="436" t="s">
        <v>744</v>
      </c>
      <c r="K79" s="437">
        <v>1980.16</v>
      </c>
      <c r="L79" s="437" t="s">
        <v>914</v>
      </c>
      <c r="M79" s="437" t="s">
        <v>914</v>
      </c>
      <c r="N79" s="438">
        <v>1980.16</v>
      </c>
      <c r="O79" s="301"/>
      <c r="P79" s="119"/>
    </row>
    <row r="80" spans="1:16" ht="15" customHeight="1">
      <c r="A80" s="574" t="s">
        <v>263</v>
      </c>
      <c r="B80" s="574"/>
      <c r="C80" s="574"/>
      <c r="D80" s="574"/>
      <c r="E80" s="574"/>
      <c r="F80" s="574"/>
      <c r="G80" s="574"/>
      <c r="H80" s="574"/>
      <c r="I80" s="191"/>
      <c r="J80" s="429"/>
      <c r="K80" s="448"/>
      <c r="L80" s="448"/>
      <c r="M80" s="448"/>
      <c r="N80" s="449"/>
      <c r="O80" s="301"/>
      <c r="P80" s="119"/>
    </row>
    <row r="81" spans="1:16" ht="15" customHeight="1">
      <c r="A81" s="549" t="s">
        <v>264</v>
      </c>
      <c r="B81" s="549"/>
      <c r="C81" s="549"/>
      <c r="D81" s="549"/>
      <c r="E81" s="549"/>
      <c r="F81" s="549"/>
      <c r="G81" s="549"/>
      <c r="H81" s="549"/>
      <c r="I81" s="186" t="s">
        <v>754</v>
      </c>
      <c r="J81" s="436" t="s">
        <v>755</v>
      </c>
      <c r="K81" s="437" t="s">
        <v>914</v>
      </c>
      <c r="L81" s="437" t="s">
        <v>914</v>
      </c>
      <c r="M81" s="437" t="s">
        <v>914</v>
      </c>
      <c r="N81" s="438" t="s">
        <v>914</v>
      </c>
      <c r="O81" s="301"/>
      <c r="P81" s="119"/>
    </row>
    <row r="82" spans="1:16" ht="15" customHeight="1" thickBot="1">
      <c r="A82" s="545" t="s">
        <v>144</v>
      </c>
      <c r="B82" s="545"/>
      <c r="C82" s="545"/>
      <c r="D82" s="545"/>
      <c r="E82" s="545"/>
      <c r="F82" s="545"/>
      <c r="G82" s="545"/>
      <c r="H82" s="545"/>
      <c r="I82" s="201" t="s">
        <v>736</v>
      </c>
      <c r="J82" s="382" t="s">
        <v>640</v>
      </c>
      <c r="K82" s="439" t="s">
        <v>914</v>
      </c>
      <c r="L82" s="439">
        <v>221117.78</v>
      </c>
      <c r="M82" s="439" t="s">
        <v>914</v>
      </c>
      <c r="N82" s="440">
        <v>221117.78</v>
      </c>
      <c r="O82" s="301"/>
      <c r="P82" s="119"/>
    </row>
    <row r="83" spans="1:16" ht="15" customHeight="1">
      <c r="A83" s="441"/>
      <c r="B83" s="452"/>
      <c r="C83" s="452"/>
      <c r="D83" s="452"/>
      <c r="E83" s="452"/>
      <c r="F83" s="452"/>
      <c r="G83" s="452"/>
      <c r="H83" s="452"/>
      <c r="I83" s="453"/>
      <c r="J83" s="454"/>
      <c r="K83" s="453"/>
      <c r="L83" s="453"/>
      <c r="M83" s="455"/>
      <c r="N83" s="455"/>
      <c r="O83" s="291"/>
      <c r="P83" s="119"/>
    </row>
    <row r="84" spans="1:16" ht="15" customHeight="1">
      <c r="A84" s="443"/>
      <c r="B84" s="153"/>
      <c r="C84" s="153"/>
      <c r="D84" s="153"/>
      <c r="E84" s="153"/>
      <c r="F84" s="153"/>
      <c r="G84" s="153"/>
      <c r="H84" s="153"/>
      <c r="I84" s="210"/>
      <c r="J84" s="210"/>
      <c r="K84" s="210"/>
      <c r="L84" s="210"/>
      <c r="M84" s="210"/>
      <c r="N84" s="210" t="s">
        <v>265</v>
      </c>
      <c r="O84" s="291"/>
      <c r="P84" s="119"/>
    </row>
    <row r="85" spans="1:16" ht="15" customHeight="1">
      <c r="A85" s="539" t="s">
        <v>266</v>
      </c>
      <c r="B85" s="539"/>
      <c r="C85" s="539"/>
      <c r="D85" s="539"/>
      <c r="E85" s="539"/>
      <c r="F85" s="539"/>
      <c r="G85" s="539"/>
      <c r="H85" s="539"/>
      <c r="I85" s="538" t="s">
        <v>235</v>
      </c>
      <c r="J85" s="505" t="s">
        <v>236</v>
      </c>
      <c r="K85" s="444" t="s">
        <v>237</v>
      </c>
      <c r="L85" s="445" t="s">
        <v>1151</v>
      </c>
      <c r="M85" s="445" t="s">
        <v>1152</v>
      </c>
      <c r="N85" s="533" t="s">
        <v>692</v>
      </c>
      <c r="O85" s="291"/>
      <c r="P85" s="119"/>
    </row>
    <row r="86" spans="1:16" ht="15" customHeight="1">
      <c r="A86" s="539"/>
      <c r="B86" s="539"/>
      <c r="C86" s="539"/>
      <c r="D86" s="539"/>
      <c r="E86" s="539"/>
      <c r="F86" s="539"/>
      <c r="G86" s="539"/>
      <c r="H86" s="539"/>
      <c r="I86" s="538"/>
      <c r="J86" s="505"/>
      <c r="K86" s="219" t="s">
        <v>1153</v>
      </c>
      <c r="L86" s="257" t="s">
        <v>1154</v>
      </c>
      <c r="M86" s="257" t="s">
        <v>1155</v>
      </c>
      <c r="N86" s="533"/>
      <c r="O86" s="291"/>
      <c r="P86" s="119"/>
    </row>
    <row r="87" spans="1:16" ht="15" customHeight="1" thickBot="1">
      <c r="A87" s="560">
        <v>1</v>
      </c>
      <c r="B87" s="560"/>
      <c r="C87" s="560"/>
      <c r="D87" s="560"/>
      <c r="E87" s="560"/>
      <c r="F87" s="560"/>
      <c r="G87" s="560"/>
      <c r="H87" s="560"/>
      <c r="I87" s="176" t="s">
        <v>560</v>
      </c>
      <c r="J87" s="177">
        <v>3</v>
      </c>
      <c r="K87" s="176" t="s">
        <v>1156</v>
      </c>
      <c r="L87" s="176" t="s">
        <v>1157</v>
      </c>
      <c r="M87" s="176" t="s">
        <v>561</v>
      </c>
      <c r="N87" s="456" t="s">
        <v>562</v>
      </c>
      <c r="O87" s="291"/>
      <c r="P87" s="119"/>
    </row>
    <row r="88" spans="1:16" ht="15" customHeight="1">
      <c r="A88" s="573" t="s">
        <v>756</v>
      </c>
      <c r="B88" s="573"/>
      <c r="C88" s="573"/>
      <c r="D88" s="573"/>
      <c r="E88" s="573"/>
      <c r="F88" s="573"/>
      <c r="G88" s="573"/>
      <c r="H88" s="573"/>
      <c r="I88" s="224" t="s">
        <v>639</v>
      </c>
      <c r="J88" s="423" t="s">
        <v>757</v>
      </c>
      <c r="K88" s="225">
        <v>133666</v>
      </c>
      <c r="L88" s="225">
        <v>5254182.91</v>
      </c>
      <c r="M88" s="225" t="s">
        <v>914</v>
      </c>
      <c r="N88" s="226">
        <v>5387848.91</v>
      </c>
      <c r="O88" s="301"/>
      <c r="P88" s="119"/>
    </row>
    <row r="89" spans="1:16" ht="15" customHeight="1">
      <c r="A89" s="536" t="s">
        <v>248</v>
      </c>
      <c r="B89" s="536"/>
      <c r="C89" s="536"/>
      <c r="D89" s="536"/>
      <c r="E89" s="536"/>
      <c r="F89" s="536"/>
      <c r="G89" s="536"/>
      <c r="H89" s="536"/>
      <c r="I89" s="191"/>
      <c r="J89" s="429"/>
      <c r="K89" s="305"/>
      <c r="L89" s="305"/>
      <c r="M89" s="305"/>
      <c r="N89" s="306"/>
      <c r="O89" s="301"/>
      <c r="P89" s="119"/>
    </row>
    <row r="90" spans="1:16" ht="15" customHeight="1">
      <c r="A90" s="537" t="s">
        <v>758</v>
      </c>
      <c r="B90" s="537"/>
      <c r="C90" s="537"/>
      <c r="D90" s="537"/>
      <c r="E90" s="537"/>
      <c r="F90" s="537"/>
      <c r="G90" s="537"/>
      <c r="H90" s="537"/>
      <c r="I90" s="186" t="s">
        <v>742</v>
      </c>
      <c r="J90" s="436" t="s">
        <v>759</v>
      </c>
      <c r="K90" s="187" t="s">
        <v>914</v>
      </c>
      <c r="L90" s="187">
        <v>3875055.55</v>
      </c>
      <c r="M90" s="187" t="s">
        <v>914</v>
      </c>
      <c r="N90" s="188">
        <v>3875055.55</v>
      </c>
      <c r="O90" s="301"/>
      <c r="P90" s="119"/>
    </row>
    <row r="91" spans="1:16" ht="15" customHeight="1">
      <c r="A91" s="541" t="s">
        <v>760</v>
      </c>
      <c r="B91" s="541"/>
      <c r="C91" s="541"/>
      <c r="D91" s="541"/>
      <c r="E91" s="541"/>
      <c r="F91" s="541"/>
      <c r="G91" s="541"/>
      <c r="H91" s="541"/>
      <c r="I91" s="196" t="s">
        <v>267</v>
      </c>
      <c r="J91" s="427" t="s">
        <v>761</v>
      </c>
      <c r="K91" s="197">
        <v>133666</v>
      </c>
      <c r="L91" s="197">
        <v>1379127.36</v>
      </c>
      <c r="M91" s="197" t="s">
        <v>914</v>
      </c>
      <c r="N91" s="198">
        <v>1512793.36</v>
      </c>
      <c r="O91" s="301"/>
      <c r="P91" s="119"/>
    </row>
    <row r="92" spans="1:16" ht="15" customHeight="1">
      <c r="A92" s="541" t="s">
        <v>762</v>
      </c>
      <c r="B92" s="541"/>
      <c r="C92" s="541"/>
      <c r="D92" s="541"/>
      <c r="E92" s="541"/>
      <c r="F92" s="541"/>
      <c r="G92" s="541"/>
      <c r="H92" s="541"/>
      <c r="I92" s="196" t="s">
        <v>268</v>
      </c>
      <c r="J92" s="427" t="s">
        <v>763</v>
      </c>
      <c r="K92" s="197" t="s">
        <v>914</v>
      </c>
      <c r="L92" s="197" t="s">
        <v>914</v>
      </c>
      <c r="M92" s="197" t="s">
        <v>914</v>
      </c>
      <c r="N92" s="198" t="s">
        <v>914</v>
      </c>
      <c r="O92" s="301"/>
      <c r="P92" s="119"/>
    </row>
    <row r="93" spans="1:16" ht="15" customHeight="1">
      <c r="A93" s="559" t="s">
        <v>764</v>
      </c>
      <c r="B93" s="559"/>
      <c r="C93" s="559"/>
      <c r="D93" s="559"/>
      <c r="E93" s="559"/>
      <c r="F93" s="559"/>
      <c r="G93" s="559"/>
      <c r="H93" s="559"/>
      <c r="I93" s="196" t="s">
        <v>640</v>
      </c>
      <c r="J93" s="427"/>
      <c r="K93" s="197" t="s">
        <v>914</v>
      </c>
      <c r="L93" s="197" t="s">
        <v>914</v>
      </c>
      <c r="M93" s="197" t="s">
        <v>914</v>
      </c>
      <c r="N93" s="198" t="s">
        <v>914</v>
      </c>
      <c r="O93" s="301"/>
      <c r="P93" s="119"/>
    </row>
    <row r="94" spans="1:16" ht="15" customHeight="1">
      <c r="A94" s="570" t="s">
        <v>1160</v>
      </c>
      <c r="B94" s="570"/>
      <c r="C94" s="570"/>
      <c r="D94" s="570"/>
      <c r="E94" s="570"/>
      <c r="F94" s="570"/>
      <c r="G94" s="570"/>
      <c r="H94" s="570"/>
      <c r="I94" s="196" t="s">
        <v>269</v>
      </c>
      <c r="J94" s="427"/>
      <c r="K94" s="197">
        <v>7972954.39</v>
      </c>
      <c r="L94" s="197">
        <v>-8868329.22</v>
      </c>
      <c r="M94" s="197" t="s">
        <v>914</v>
      </c>
      <c r="N94" s="198">
        <v>-895374.83</v>
      </c>
      <c r="O94" s="301"/>
      <c r="P94" s="119"/>
    </row>
    <row r="95" spans="1:16" ht="15" customHeight="1">
      <c r="A95" s="559" t="s">
        <v>1161</v>
      </c>
      <c r="B95" s="559"/>
      <c r="C95" s="559"/>
      <c r="D95" s="559"/>
      <c r="E95" s="559"/>
      <c r="F95" s="559"/>
      <c r="G95" s="559"/>
      <c r="H95" s="559"/>
      <c r="I95" s="196" t="s">
        <v>270</v>
      </c>
      <c r="J95" s="427"/>
      <c r="K95" s="197">
        <v>7972954.39</v>
      </c>
      <c r="L95" s="197">
        <v>-8868329.22</v>
      </c>
      <c r="M95" s="197" t="s">
        <v>914</v>
      </c>
      <c r="N95" s="198">
        <v>-895374.83</v>
      </c>
      <c r="O95" s="301"/>
      <c r="P95" s="119"/>
    </row>
    <row r="96" spans="1:16" ht="15" customHeight="1">
      <c r="A96" s="559" t="s">
        <v>271</v>
      </c>
      <c r="B96" s="559"/>
      <c r="C96" s="559"/>
      <c r="D96" s="559"/>
      <c r="E96" s="559"/>
      <c r="F96" s="559"/>
      <c r="G96" s="559"/>
      <c r="H96" s="559"/>
      <c r="I96" s="283" t="s">
        <v>272</v>
      </c>
      <c r="J96" s="457"/>
      <c r="K96" s="197" t="s">
        <v>914</v>
      </c>
      <c r="L96" s="197" t="s">
        <v>914</v>
      </c>
      <c r="M96" s="197" t="s">
        <v>914</v>
      </c>
      <c r="N96" s="198" t="s">
        <v>914</v>
      </c>
      <c r="O96" s="301"/>
      <c r="P96" s="119"/>
    </row>
    <row r="97" spans="1:16" ht="25.5" customHeight="1">
      <c r="A97" s="570" t="s">
        <v>1162</v>
      </c>
      <c r="B97" s="570"/>
      <c r="C97" s="570"/>
      <c r="D97" s="570"/>
      <c r="E97" s="570"/>
      <c r="F97" s="570"/>
      <c r="G97" s="570"/>
      <c r="H97" s="570"/>
      <c r="I97" s="285" t="s">
        <v>644</v>
      </c>
      <c r="J97" s="458"/>
      <c r="K97" s="197" t="s">
        <v>914</v>
      </c>
      <c r="L97" s="197">
        <v>6427549.67</v>
      </c>
      <c r="M97" s="197" t="s">
        <v>914</v>
      </c>
      <c r="N97" s="198">
        <v>6427549.67</v>
      </c>
      <c r="O97" s="301"/>
      <c r="P97" s="119"/>
    </row>
    <row r="98" spans="1:16" ht="15" customHeight="1">
      <c r="A98" s="559" t="s">
        <v>765</v>
      </c>
      <c r="B98" s="559"/>
      <c r="C98" s="559"/>
      <c r="D98" s="559"/>
      <c r="E98" s="559"/>
      <c r="F98" s="559"/>
      <c r="G98" s="559"/>
      <c r="H98" s="559"/>
      <c r="I98" s="196" t="s">
        <v>646</v>
      </c>
      <c r="J98" s="427"/>
      <c r="K98" s="197" t="s">
        <v>914</v>
      </c>
      <c r="L98" s="197">
        <v>5701544.35</v>
      </c>
      <c r="M98" s="197" t="s">
        <v>914</v>
      </c>
      <c r="N98" s="198">
        <v>5701544.35</v>
      </c>
      <c r="O98" s="301"/>
      <c r="P98" s="119"/>
    </row>
    <row r="99" spans="1:16" ht="15" customHeight="1">
      <c r="A99" s="536" t="s">
        <v>248</v>
      </c>
      <c r="B99" s="536"/>
      <c r="C99" s="536"/>
      <c r="D99" s="536"/>
      <c r="E99" s="536"/>
      <c r="F99" s="536"/>
      <c r="G99" s="536"/>
      <c r="H99" s="536"/>
      <c r="I99" s="196"/>
      <c r="J99" s="427"/>
      <c r="K99" s="197"/>
      <c r="L99" s="197"/>
      <c r="M99" s="197"/>
      <c r="N99" s="198"/>
      <c r="O99" s="301"/>
      <c r="P99" s="119"/>
    </row>
    <row r="100" spans="1:16" ht="15" customHeight="1">
      <c r="A100" s="537" t="s">
        <v>766</v>
      </c>
      <c r="B100" s="537"/>
      <c r="C100" s="537"/>
      <c r="D100" s="537"/>
      <c r="E100" s="537"/>
      <c r="F100" s="537"/>
      <c r="G100" s="537"/>
      <c r="H100" s="537"/>
      <c r="I100" s="196" t="s">
        <v>767</v>
      </c>
      <c r="J100" s="427" t="s">
        <v>644</v>
      </c>
      <c r="K100" s="197">
        <v>7678761.71</v>
      </c>
      <c r="L100" s="197">
        <v>434922419.48</v>
      </c>
      <c r="M100" s="197" t="s">
        <v>914</v>
      </c>
      <c r="N100" s="198">
        <v>442601181.19</v>
      </c>
      <c r="O100" s="301"/>
      <c r="P100" s="119"/>
    </row>
    <row r="101" spans="1:16" ht="15" customHeight="1">
      <c r="A101" s="541" t="s">
        <v>768</v>
      </c>
      <c r="B101" s="541"/>
      <c r="C101" s="541"/>
      <c r="D101" s="541"/>
      <c r="E101" s="541"/>
      <c r="F101" s="541"/>
      <c r="G101" s="541"/>
      <c r="H101" s="541"/>
      <c r="I101" s="196" t="s">
        <v>769</v>
      </c>
      <c r="J101" s="427" t="s">
        <v>659</v>
      </c>
      <c r="K101" s="197">
        <v>7678761.71</v>
      </c>
      <c r="L101" s="197">
        <v>429220875.13</v>
      </c>
      <c r="M101" s="197" t="s">
        <v>914</v>
      </c>
      <c r="N101" s="198">
        <v>436899636.84</v>
      </c>
      <c r="O101" s="301"/>
      <c r="P101" s="119"/>
    </row>
    <row r="102" spans="1:16" ht="15" customHeight="1">
      <c r="A102" s="559" t="s">
        <v>770</v>
      </c>
      <c r="B102" s="559"/>
      <c r="C102" s="559"/>
      <c r="D102" s="559"/>
      <c r="E102" s="559"/>
      <c r="F102" s="559"/>
      <c r="G102" s="559"/>
      <c r="H102" s="559"/>
      <c r="I102" s="196" t="s">
        <v>648</v>
      </c>
      <c r="J102" s="427"/>
      <c r="K102" s="197" t="s">
        <v>914</v>
      </c>
      <c r="L102" s="197" t="s">
        <v>914</v>
      </c>
      <c r="M102" s="197" t="s">
        <v>914</v>
      </c>
      <c r="N102" s="198" t="s">
        <v>914</v>
      </c>
      <c r="O102" s="301"/>
      <c r="P102" s="119"/>
    </row>
    <row r="103" spans="1:16" ht="15" customHeight="1">
      <c r="A103" s="536" t="s">
        <v>248</v>
      </c>
      <c r="B103" s="536"/>
      <c r="C103" s="536"/>
      <c r="D103" s="536"/>
      <c r="E103" s="536"/>
      <c r="F103" s="536"/>
      <c r="G103" s="536"/>
      <c r="H103" s="536"/>
      <c r="I103" s="196"/>
      <c r="J103" s="427"/>
      <c r="K103" s="197"/>
      <c r="L103" s="197"/>
      <c r="M103" s="197"/>
      <c r="N103" s="198"/>
      <c r="O103" s="301"/>
      <c r="P103" s="119"/>
    </row>
    <row r="104" spans="1:16" ht="15" customHeight="1">
      <c r="A104" s="537" t="s">
        <v>771</v>
      </c>
      <c r="B104" s="537"/>
      <c r="C104" s="537"/>
      <c r="D104" s="537"/>
      <c r="E104" s="537"/>
      <c r="F104" s="537"/>
      <c r="G104" s="537"/>
      <c r="H104" s="537"/>
      <c r="I104" s="196" t="s">
        <v>649</v>
      </c>
      <c r="J104" s="427" t="s">
        <v>646</v>
      </c>
      <c r="K104" s="197" t="s">
        <v>914</v>
      </c>
      <c r="L104" s="197" t="s">
        <v>914</v>
      </c>
      <c r="M104" s="197" t="s">
        <v>914</v>
      </c>
      <c r="N104" s="198" t="s">
        <v>914</v>
      </c>
      <c r="O104" s="301"/>
      <c r="P104" s="119"/>
    </row>
    <row r="105" spans="1:16" ht="15" customHeight="1">
      <c r="A105" s="541" t="s">
        <v>772</v>
      </c>
      <c r="B105" s="541"/>
      <c r="C105" s="541"/>
      <c r="D105" s="541"/>
      <c r="E105" s="541"/>
      <c r="F105" s="541"/>
      <c r="G105" s="541"/>
      <c r="H105" s="541"/>
      <c r="I105" s="196" t="s">
        <v>773</v>
      </c>
      <c r="J105" s="427" t="s">
        <v>774</v>
      </c>
      <c r="K105" s="197" t="s">
        <v>914</v>
      </c>
      <c r="L105" s="197" t="s">
        <v>914</v>
      </c>
      <c r="M105" s="197" t="s">
        <v>914</v>
      </c>
      <c r="N105" s="198" t="s">
        <v>914</v>
      </c>
      <c r="O105" s="301"/>
      <c r="P105" s="119"/>
    </row>
    <row r="106" spans="1:16" ht="15" customHeight="1">
      <c r="A106" s="559" t="s">
        <v>775</v>
      </c>
      <c r="B106" s="559"/>
      <c r="C106" s="559"/>
      <c r="D106" s="559"/>
      <c r="E106" s="559"/>
      <c r="F106" s="559"/>
      <c r="G106" s="559"/>
      <c r="H106" s="559"/>
      <c r="I106" s="196" t="s">
        <v>776</v>
      </c>
      <c r="J106" s="427"/>
      <c r="K106" s="197" t="s">
        <v>914</v>
      </c>
      <c r="L106" s="197" t="s">
        <v>914</v>
      </c>
      <c r="M106" s="197" t="s">
        <v>914</v>
      </c>
      <c r="N106" s="198" t="s">
        <v>914</v>
      </c>
      <c r="O106" s="301"/>
      <c r="P106" s="119"/>
    </row>
    <row r="107" spans="1:16" ht="15" customHeight="1">
      <c r="A107" s="536" t="s">
        <v>248</v>
      </c>
      <c r="B107" s="536"/>
      <c r="C107" s="536"/>
      <c r="D107" s="536"/>
      <c r="E107" s="536"/>
      <c r="F107" s="536"/>
      <c r="G107" s="536"/>
      <c r="H107" s="536"/>
      <c r="I107" s="191"/>
      <c r="J107" s="429"/>
      <c r="K107" s="305"/>
      <c r="L107" s="305"/>
      <c r="M107" s="305"/>
      <c r="N107" s="306"/>
      <c r="O107" s="301"/>
      <c r="P107" s="119"/>
    </row>
    <row r="108" spans="1:16" ht="15" customHeight="1">
      <c r="A108" s="537" t="s">
        <v>777</v>
      </c>
      <c r="B108" s="537"/>
      <c r="C108" s="537"/>
      <c r="D108" s="537"/>
      <c r="E108" s="537"/>
      <c r="F108" s="537"/>
      <c r="G108" s="537"/>
      <c r="H108" s="537"/>
      <c r="I108" s="186" t="s">
        <v>778</v>
      </c>
      <c r="J108" s="436" t="s">
        <v>648</v>
      </c>
      <c r="K108" s="187" t="s">
        <v>914</v>
      </c>
      <c r="L108" s="187" t="s">
        <v>914</v>
      </c>
      <c r="M108" s="187" t="s">
        <v>914</v>
      </c>
      <c r="N108" s="188" t="s">
        <v>914</v>
      </c>
      <c r="O108" s="301"/>
      <c r="P108" s="119"/>
    </row>
    <row r="109" spans="1:16" ht="15" customHeight="1">
      <c r="A109" s="541" t="s">
        <v>779</v>
      </c>
      <c r="B109" s="541"/>
      <c r="C109" s="541"/>
      <c r="D109" s="541"/>
      <c r="E109" s="541"/>
      <c r="F109" s="541"/>
      <c r="G109" s="541"/>
      <c r="H109" s="541"/>
      <c r="I109" s="196" t="s">
        <v>780</v>
      </c>
      <c r="J109" s="427" t="s">
        <v>781</v>
      </c>
      <c r="K109" s="197" t="s">
        <v>914</v>
      </c>
      <c r="L109" s="197" t="s">
        <v>914</v>
      </c>
      <c r="M109" s="197" t="s">
        <v>914</v>
      </c>
      <c r="N109" s="198" t="s">
        <v>914</v>
      </c>
      <c r="O109" s="301"/>
      <c r="P109" s="119"/>
    </row>
    <row r="110" spans="1:16" ht="15" customHeight="1">
      <c r="A110" s="542" t="s">
        <v>782</v>
      </c>
      <c r="B110" s="542"/>
      <c r="C110" s="542"/>
      <c r="D110" s="542"/>
      <c r="E110" s="542"/>
      <c r="F110" s="542"/>
      <c r="G110" s="542"/>
      <c r="H110" s="542"/>
      <c r="I110" s="196" t="s">
        <v>783</v>
      </c>
      <c r="J110" s="427"/>
      <c r="K110" s="197" t="s">
        <v>914</v>
      </c>
      <c r="L110" s="197">
        <v>726005.32</v>
      </c>
      <c r="M110" s="197" t="s">
        <v>914</v>
      </c>
      <c r="N110" s="198">
        <v>726005.32</v>
      </c>
      <c r="O110" s="301"/>
      <c r="P110" s="119"/>
    </row>
    <row r="111" spans="1:16" ht="15" customHeight="1">
      <c r="A111" s="536" t="s">
        <v>248</v>
      </c>
      <c r="B111" s="536"/>
      <c r="C111" s="536"/>
      <c r="D111" s="536"/>
      <c r="E111" s="536"/>
      <c r="F111" s="536"/>
      <c r="G111" s="536"/>
      <c r="H111" s="536"/>
      <c r="I111" s="191"/>
      <c r="J111" s="429"/>
      <c r="K111" s="305"/>
      <c r="L111" s="305"/>
      <c r="M111" s="305"/>
      <c r="N111" s="306"/>
      <c r="O111" s="301"/>
      <c r="P111" s="119"/>
    </row>
    <row r="112" spans="1:16" ht="15" customHeight="1">
      <c r="A112" s="537" t="s">
        <v>784</v>
      </c>
      <c r="B112" s="537"/>
      <c r="C112" s="537"/>
      <c r="D112" s="537"/>
      <c r="E112" s="537"/>
      <c r="F112" s="537"/>
      <c r="G112" s="537"/>
      <c r="H112" s="537"/>
      <c r="I112" s="186" t="s">
        <v>785</v>
      </c>
      <c r="J112" s="436" t="s">
        <v>786</v>
      </c>
      <c r="K112" s="187">
        <v>1278182</v>
      </c>
      <c r="L112" s="187">
        <v>2410933.67</v>
      </c>
      <c r="M112" s="187" t="s">
        <v>914</v>
      </c>
      <c r="N112" s="188">
        <v>3689115.67</v>
      </c>
      <c r="O112" s="301"/>
      <c r="P112" s="119"/>
    </row>
    <row r="113" spans="1:16" ht="15" customHeight="1">
      <c r="A113" s="541" t="s">
        <v>787</v>
      </c>
      <c r="B113" s="541"/>
      <c r="C113" s="541"/>
      <c r="D113" s="541"/>
      <c r="E113" s="541"/>
      <c r="F113" s="541"/>
      <c r="G113" s="541"/>
      <c r="H113" s="541"/>
      <c r="I113" s="196" t="s">
        <v>788</v>
      </c>
      <c r="J113" s="427" t="s">
        <v>789</v>
      </c>
      <c r="K113" s="197">
        <v>1278182</v>
      </c>
      <c r="L113" s="197">
        <v>1684928.35</v>
      </c>
      <c r="M113" s="197" t="s">
        <v>914</v>
      </c>
      <c r="N113" s="198">
        <v>2963110.35</v>
      </c>
      <c r="O113" s="301"/>
      <c r="P113" s="119"/>
    </row>
    <row r="114" spans="1:16" ht="15" customHeight="1">
      <c r="A114" s="559" t="s">
        <v>273</v>
      </c>
      <c r="B114" s="559"/>
      <c r="C114" s="559"/>
      <c r="D114" s="559"/>
      <c r="E114" s="559"/>
      <c r="F114" s="559"/>
      <c r="G114" s="559"/>
      <c r="H114" s="559"/>
      <c r="I114" s="196" t="s">
        <v>652</v>
      </c>
      <c r="J114" s="427"/>
      <c r="K114" s="197" t="s">
        <v>914</v>
      </c>
      <c r="L114" s="197" t="s">
        <v>914</v>
      </c>
      <c r="M114" s="197" t="s">
        <v>914</v>
      </c>
      <c r="N114" s="198" t="s">
        <v>914</v>
      </c>
      <c r="O114" s="301"/>
      <c r="P114" s="119"/>
    </row>
    <row r="115" spans="1:16" ht="15" customHeight="1">
      <c r="A115" s="571" t="s">
        <v>274</v>
      </c>
      <c r="B115" s="571"/>
      <c r="C115" s="571"/>
      <c r="D115" s="571"/>
      <c r="E115" s="571"/>
      <c r="F115" s="571"/>
      <c r="G115" s="571"/>
      <c r="H115" s="571"/>
      <c r="I115" s="191"/>
      <c r="J115" s="429"/>
      <c r="K115" s="305"/>
      <c r="L115" s="305"/>
      <c r="M115" s="305"/>
      <c r="N115" s="306"/>
      <c r="O115" s="301"/>
      <c r="P115" s="119"/>
    </row>
    <row r="116" spans="1:16" ht="15" customHeight="1">
      <c r="A116" s="572" t="s">
        <v>248</v>
      </c>
      <c r="B116" s="572"/>
      <c r="C116" s="572"/>
      <c r="D116" s="572"/>
      <c r="E116" s="572"/>
      <c r="F116" s="572"/>
      <c r="G116" s="572"/>
      <c r="H116" s="572"/>
      <c r="I116" s="186"/>
      <c r="J116" s="436"/>
      <c r="K116" s="187"/>
      <c r="L116" s="187"/>
      <c r="M116" s="187"/>
      <c r="N116" s="188"/>
      <c r="O116" s="301"/>
      <c r="P116" s="119"/>
    </row>
    <row r="117" spans="1:16" ht="15" customHeight="1">
      <c r="A117" s="541" t="s">
        <v>275</v>
      </c>
      <c r="B117" s="541"/>
      <c r="C117" s="541"/>
      <c r="D117" s="541"/>
      <c r="E117" s="541"/>
      <c r="F117" s="541"/>
      <c r="G117" s="541"/>
      <c r="H117" s="541"/>
      <c r="I117" s="196" t="s">
        <v>653</v>
      </c>
      <c r="J117" s="427" t="s">
        <v>276</v>
      </c>
      <c r="K117" s="197" t="s">
        <v>914</v>
      </c>
      <c r="L117" s="197" t="s">
        <v>914</v>
      </c>
      <c r="M117" s="197" t="s">
        <v>914</v>
      </c>
      <c r="N117" s="198" t="s">
        <v>914</v>
      </c>
      <c r="O117" s="301"/>
      <c r="P117" s="119"/>
    </row>
    <row r="118" spans="1:16" ht="15" customHeight="1" thickBot="1">
      <c r="A118" s="541" t="s">
        <v>277</v>
      </c>
      <c r="B118" s="541"/>
      <c r="C118" s="541"/>
      <c r="D118" s="541"/>
      <c r="E118" s="541"/>
      <c r="F118" s="541"/>
      <c r="G118" s="541"/>
      <c r="H118" s="541"/>
      <c r="I118" s="201" t="s">
        <v>655</v>
      </c>
      <c r="J118" s="382" t="s">
        <v>276</v>
      </c>
      <c r="K118" s="202" t="s">
        <v>914</v>
      </c>
      <c r="L118" s="202" t="s">
        <v>914</v>
      </c>
      <c r="M118" s="202" t="s">
        <v>914</v>
      </c>
      <c r="N118" s="203" t="s">
        <v>914</v>
      </c>
      <c r="O118" s="301"/>
      <c r="P118" s="119"/>
    </row>
    <row r="119" spans="1:16" ht="15" customHeight="1">
      <c r="A119" s="441"/>
      <c r="B119" s="459"/>
      <c r="C119" s="459"/>
      <c r="D119" s="459"/>
      <c r="E119" s="459"/>
      <c r="F119" s="459"/>
      <c r="G119" s="459"/>
      <c r="H119" s="459"/>
      <c r="I119" s="206"/>
      <c r="J119" s="206"/>
      <c r="K119" s="460"/>
      <c r="L119" s="460"/>
      <c r="M119" s="460"/>
      <c r="N119" s="460"/>
      <c r="O119" s="291"/>
      <c r="P119" s="119"/>
    </row>
    <row r="120" spans="1:16" ht="15" customHeight="1">
      <c r="A120" s="461"/>
      <c r="B120" s="125"/>
      <c r="C120" s="125"/>
      <c r="D120" s="125"/>
      <c r="E120" s="125"/>
      <c r="F120" s="125"/>
      <c r="G120" s="125"/>
      <c r="H120" s="125"/>
      <c r="I120" s="233"/>
      <c r="J120" s="233"/>
      <c r="K120" s="462"/>
      <c r="L120" s="462"/>
      <c r="M120" s="462"/>
      <c r="N120" s="462"/>
      <c r="O120" s="291"/>
      <c r="P120" s="119"/>
    </row>
    <row r="121" spans="1:16" ht="15" customHeight="1">
      <c r="A121" s="269"/>
      <c r="B121" s="153"/>
      <c r="C121" s="153"/>
      <c r="D121" s="153"/>
      <c r="E121" s="153"/>
      <c r="F121" s="153"/>
      <c r="G121" s="153"/>
      <c r="H121" s="153"/>
      <c r="I121" s="210"/>
      <c r="J121" s="210"/>
      <c r="K121" s="210"/>
      <c r="L121" s="210"/>
      <c r="M121" s="210"/>
      <c r="N121" s="210" t="s">
        <v>278</v>
      </c>
      <c r="O121" s="291"/>
      <c r="P121" s="119"/>
    </row>
    <row r="122" spans="1:16" ht="15" customHeight="1">
      <c r="A122" s="539" t="s">
        <v>254</v>
      </c>
      <c r="B122" s="539"/>
      <c r="C122" s="539"/>
      <c r="D122" s="539"/>
      <c r="E122" s="539"/>
      <c r="F122" s="539"/>
      <c r="G122" s="539"/>
      <c r="H122" s="539"/>
      <c r="I122" s="538" t="s">
        <v>235</v>
      </c>
      <c r="J122" s="505" t="s">
        <v>236</v>
      </c>
      <c r="K122" s="444" t="s">
        <v>237</v>
      </c>
      <c r="L122" s="445" t="s">
        <v>1151</v>
      </c>
      <c r="M122" s="445" t="s">
        <v>1152</v>
      </c>
      <c r="N122" s="540" t="s">
        <v>692</v>
      </c>
      <c r="O122" s="291"/>
      <c r="P122" s="119"/>
    </row>
    <row r="123" spans="1:16" ht="15" customHeight="1">
      <c r="A123" s="539"/>
      <c r="B123" s="539"/>
      <c r="C123" s="539"/>
      <c r="D123" s="539"/>
      <c r="E123" s="539"/>
      <c r="F123" s="539"/>
      <c r="G123" s="539"/>
      <c r="H123" s="539"/>
      <c r="I123" s="538"/>
      <c r="J123" s="505"/>
      <c r="K123" s="219" t="s">
        <v>1153</v>
      </c>
      <c r="L123" s="257" t="s">
        <v>1154</v>
      </c>
      <c r="M123" s="257" t="s">
        <v>1155</v>
      </c>
      <c r="N123" s="540"/>
      <c r="O123" s="291"/>
      <c r="P123" s="119"/>
    </row>
    <row r="124" spans="1:16" ht="15" customHeight="1" thickBot="1">
      <c r="A124" s="560">
        <v>1</v>
      </c>
      <c r="B124" s="560"/>
      <c r="C124" s="560"/>
      <c r="D124" s="560"/>
      <c r="E124" s="560"/>
      <c r="F124" s="560"/>
      <c r="G124" s="560"/>
      <c r="H124" s="560"/>
      <c r="I124" s="176" t="s">
        <v>560</v>
      </c>
      <c r="J124" s="177">
        <v>3</v>
      </c>
      <c r="K124" s="176" t="s">
        <v>1156</v>
      </c>
      <c r="L124" s="176" t="s">
        <v>1157</v>
      </c>
      <c r="M124" s="176" t="s">
        <v>561</v>
      </c>
      <c r="N124" s="456" t="s">
        <v>562</v>
      </c>
      <c r="O124" s="291"/>
      <c r="P124" s="119"/>
    </row>
    <row r="125" spans="1:16" ht="15" customHeight="1">
      <c r="A125" s="561" t="s">
        <v>1163</v>
      </c>
      <c r="B125" s="561"/>
      <c r="C125" s="561"/>
      <c r="D125" s="561"/>
      <c r="E125" s="561"/>
      <c r="F125" s="561"/>
      <c r="G125" s="561"/>
      <c r="H125" s="561"/>
      <c r="I125" s="224" t="s">
        <v>790</v>
      </c>
      <c r="J125" s="463"/>
      <c r="K125" s="425">
        <v>7972954.39</v>
      </c>
      <c r="L125" s="425">
        <v>-15295878.89</v>
      </c>
      <c r="M125" s="425" t="s">
        <v>914</v>
      </c>
      <c r="N125" s="426">
        <v>-7322924.5</v>
      </c>
      <c r="O125" s="301"/>
      <c r="P125" s="119"/>
    </row>
    <row r="126" spans="1:16" ht="25.5" customHeight="1">
      <c r="A126" s="570" t="s">
        <v>1164</v>
      </c>
      <c r="B126" s="570"/>
      <c r="C126" s="570"/>
      <c r="D126" s="570"/>
      <c r="E126" s="570"/>
      <c r="F126" s="570"/>
      <c r="G126" s="570"/>
      <c r="H126" s="570"/>
      <c r="I126" s="196" t="s">
        <v>791</v>
      </c>
      <c r="J126" s="162"/>
      <c r="K126" s="286">
        <v>-850323.32</v>
      </c>
      <c r="L126" s="286">
        <v>-9481827.88</v>
      </c>
      <c r="M126" s="286">
        <v>556738.9</v>
      </c>
      <c r="N126" s="428">
        <v>-9775412.3</v>
      </c>
      <c r="O126" s="301"/>
      <c r="P126" s="119"/>
    </row>
    <row r="127" spans="1:16" ht="15" customHeight="1">
      <c r="A127" s="559" t="s">
        <v>1165</v>
      </c>
      <c r="B127" s="559"/>
      <c r="C127" s="559"/>
      <c r="D127" s="559"/>
      <c r="E127" s="559"/>
      <c r="F127" s="559"/>
      <c r="G127" s="559"/>
      <c r="H127" s="559"/>
      <c r="I127" s="196" t="s">
        <v>659</v>
      </c>
      <c r="J127" s="162"/>
      <c r="K127" s="286">
        <v>50404202.72</v>
      </c>
      <c r="L127" s="286">
        <v>-1819072.26</v>
      </c>
      <c r="M127" s="286">
        <v>556738.9</v>
      </c>
      <c r="N127" s="428">
        <v>49141869.36</v>
      </c>
      <c r="O127" s="301"/>
      <c r="P127" s="119"/>
    </row>
    <row r="128" spans="1:16" ht="15" customHeight="1">
      <c r="A128" s="564" t="s">
        <v>248</v>
      </c>
      <c r="B128" s="564"/>
      <c r="C128" s="564"/>
      <c r="D128" s="564"/>
      <c r="E128" s="564"/>
      <c r="F128" s="564"/>
      <c r="G128" s="564"/>
      <c r="H128" s="564"/>
      <c r="I128" s="191"/>
      <c r="J128" s="429"/>
      <c r="K128" s="448"/>
      <c r="L128" s="448"/>
      <c r="M128" s="448"/>
      <c r="N128" s="449"/>
      <c r="O128" s="301"/>
      <c r="P128" s="119"/>
    </row>
    <row r="129" spans="1:16" ht="15" customHeight="1">
      <c r="A129" s="562" t="s">
        <v>279</v>
      </c>
      <c r="B129" s="562"/>
      <c r="C129" s="562"/>
      <c r="D129" s="562"/>
      <c r="E129" s="562"/>
      <c r="F129" s="562"/>
      <c r="G129" s="562"/>
      <c r="H129" s="562"/>
      <c r="I129" s="186" t="s">
        <v>792</v>
      </c>
      <c r="J129" s="436" t="s">
        <v>668</v>
      </c>
      <c r="K129" s="437">
        <v>137602303.01</v>
      </c>
      <c r="L129" s="437">
        <v>262401275.95</v>
      </c>
      <c r="M129" s="437">
        <v>2370890.9</v>
      </c>
      <c r="N129" s="438">
        <v>402374469.86</v>
      </c>
      <c r="O129" s="301"/>
      <c r="P129" s="119"/>
    </row>
    <row r="130" spans="1:16" ht="15" customHeight="1">
      <c r="A130" s="563" t="s">
        <v>280</v>
      </c>
      <c r="B130" s="563"/>
      <c r="C130" s="563"/>
      <c r="D130" s="563"/>
      <c r="E130" s="563"/>
      <c r="F130" s="563"/>
      <c r="G130" s="563"/>
      <c r="H130" s="563"/>
      <c r="I130" s="196" t="s">
        <v>793</v>
      </c>
      <c r="J130" s="427" t="s">
        <v>794</v>
      </c>
      <c r="K130" s="286">
        <v>87198100.29</v>
      </c>
      <c r="L130" s="286">
        <v>264220348.21</v>
      </c>
      <c r="M130" s="286">
        <v>1814152</v>
      </c>
      <c r="N130" s="428">
        <v>353232600.5</v>
      </c>
      <c r="O130" s="301"/>
      <c r="P130" s="119"/>
    </row>
    <row r="131" spans="1:16" ht="15" customHeight="1">
      <c r="A131" s="559" t="s">
        <v>281</v>
      </c>
      <c r="B131" s="559"/>
      <c r="C131" s="559"/>
      <c r="D131" s="559"/>
      <c r="E131" s="559"/>
      <c r="F131" s="559"/>
      <c r="G131" s="559"/>
      <c r="H131" s="559"/>
      <c r="I131" s="196" t="s">
        <v>774</v>
      </c>
      <c r="J131" s="427"/>
      <c r="K131" s="286" t="s">
        <v>914</v>
      </c>
      <c r="L131" s="286" t="s">
        <v>914</v>
      </c>
      <c r="M131" s="286" t="s">
        <v>914</v>
      </c>
      <c r="N131" s="428" t="s">
        <v>914</v>
      </c>
      <c r="O131" s="301"/>
      <c r="P131" s="119"/>
    </row>
    <row r="132" spans="1:16" ht="15" customHeight="1">
      <c r="A132" s="564" t="s">
        <v>248</v>
      </c>
      <c r="B132" s="564"/>
      <c r="C132" s="564"/>
      <c r="D132" s="564"/>
      <c r="E132" s="564"/>
      <c r="F132" s="564"/>
      <c r="G132" s="564"/>
      <c r="H132" s="564"/>
      <c r="I132" s="191"/>
      <c r="J132" s="429"/>
      <c r="K132" s="448"/>
      <c r="L132" s="448"/>
      <c r="M132" s="448"/>
      <c r="N132" s="449"/>
      <c r="O132" s="301"/>
      <c r="P132" s="119"/>
    </row>
    <row r="133" spans="1:16" ht="15" customHeight="1">
      <c r="A133" s="565" t="s">
        <v>282</v>
      </c>
      <c r="B133" s="565"/>
      <c r="C133" s="565"/>
      <c r="D133" s="565"/>
      <c r="E133" s="565"/>
      <c r="F133" s="565"/>
      <c r="G133" s="565"/>
      <c r="H133" s="565"/>
      <c r="I133" s="186" t="s">
        <v>795</v>
      </c>
      <c r="J133" s="436" t="s">
        <v>796</v>
      </c>
      <c r="K133" s="437" t="s">
        <v>914</v>
      </c>
      <c r="L133" s="437" t="s">
        <v>914</v>
      </c>
      <c r="M133" s="437" t="s">
        <v>914</v>
      </c>
      <c r="N133" s="438" t="s">
        <v>914</v>
      </c>
      <c r="O133" s="301"/>
      <c r="P133" s="119"/>
    </row>
    <row r="134" spans="1:16" ht="15" customHeight="1">
      <c r="A134" s="566" t="s">
        <v>283</v>
      </c>
      <c r="B134" s="566"/>
      <c r="C134" s="566"/>
      <c r="D134" s="566"/>
      <c r="E134" s="566"/>
      <c r="F134" s="566"/>
      <c r="G134" s="566"/>
      <c r="H134" s="566"/>
      <c r="I134" s="196" t="s">
        <v>797</v>
      </c>
      <c r="J134" s="427" t="s">
        <v>683</v>
      </c>
      <c r="K134" s="286" t="s">
        <v>914</v>
      </c>
      <c r="L134" s="286" t="s">
        <v>914</v>
      </c>
      <c r="M134" s="286" t="s">
        <v>914</v>
      </c>
      <c r="N134" s="428" t="s">
        <v>914</v>
      </c>
      <c r="O134" s="301"/>
      <c r="P134" s="119"/>
    </row>
    <row r="135" spans="1:16" ht="15" customHeight="1">
      <c r="A135" s="559" t="s">
        <v>798</v>
      </c>
      <c r="B135" s="559"/>
      <c r="C135" s="559"/>
      <c r="D135" s="559"/>
      <c r="E135" s="559"/>
      <c r="F135" s="559"/>
      <c r="G135" s="559"/>
      <c r="H135" s="559"/>
      <c r="I135" s="196" t="s">
        <v>789</v>
      </c>
      <c r="J135" s="427"/>
      <c r="K135" s="286" t="s">
        <v>914</v>
      </c>
      <c r="L135" s="286" t="s">
        <v>914</v>
      </c>
      <c r="M135" s="286" t="s">
        <v>914</v>
      </c>
      <c r="N135" s="428" t="s">
        <v>914</v>
      </c>
      <c r="O135" s="301"/>
      <c r="P135" s="119"/>
    </row>
    <row r="136" spans="1:16" ht="15" customHeight="1">
      <c r="A136" s="564" t="s">
        <v>248</v>
      </c>
      <c r="B136" s="564"/>
      <c r="C136" s="564"/>
      <c r="D136" s="564"/>
      <c r="E136" s="564"/>
      <c r="F136" s="564"/>
      <c r="G136" s="564"/>
      <c r="H136" s="564"/>
      <c r="I136" s="191"/>
      <c r="J136" s="429"/>
      <c r="K136" s="448"/>
      <c r="L136" s="448"/>
      <c r="M136" s="448"/>
      <c r="N136" s="449"/>
      <c r="O136" s="301"/>
      <c r="P136" s="119"/>
    </row>
    <row r="137" spans="1:16" ht="15" customHeight="1">
      <c r="A137" s="565" t="s">
        <v>799</v>
      </c>
      <c r="B137" s="565"/>
      <c r="C137" s="565"/>
      <c r="D137" s="565"/>
      <c r="E137" s="565"/>
      <c r="F137" s="565"/>
      <c r="G137" s="565"/>
      <c r="H137" s="565"/>
      <c r="I137" s="186" t="s">
        <v>800</v>
      </c>
      <c r="J137" s="436" t="s">
        <v>676</v>
      </c>
      <c r="K137" s="437" t="s">
        <v>914</v>
      </c>
      <c r="L137" s="437" t="s">
        <v>914</v>
      </c>
      <c r="M137" s="437" t="s">
        <v>914</v>
      </c>
      <c r="N137" s="438" t="s">
        <v>914</v>
      </c>
      <c r="O137" s="301"/>
      <c r="P137" s="119"/>
    </row>
    <row r="138" spans="1:16" ht="15" customHeight="1">
      <c r="A138" s="566" t="s">
        <v>801</v>
      </c>
      <c r="B138" s="566"/>
      <c r="C138" s="566"/>
      <c r="D138" s="566"/>
      <c r="E138" s="566"/>
      <c r="F138" s="566"/>
      <c r="G138" s="566"/>
      <c r="H138" s="566"/>
      <c r="I138" s="196" t="s">
        <v>802</v>
      </c>
      <c r="J138" s="427" t="s">
        <v>803</v>
      </c>
      <c r="K138" s="286" t="s">
        <v>914</v>
      </c>
      <c r="L138" s="286" t="s">
        <v>914</v>
      </c>
      <c r="M138" s="286" t="s">
        <v>914</v>
      </c>
      <c r="N138" s="428" t="s">
        <v>914</v>
      </c>
      <c r="O138" s="301"/>
      <c r="P138" s="119"/>
    </row>
    <row r="139" spans="1:16" ht="15" customHeight="1">
      <c r="A139" s="559" t="s">
        <v>284</v>
      </c>
      <c r="B139" s="559"/>
      <c r="C139" s="559"/>
      <c r="D139" s="559"/>
      <c r="E139" s="559"/>
      <c r="F139" s="559"/>
      <c r="G139" s="559"/>
      <c r="H139" s="559"/>
      <c r="I139" s="196" t="s">
        <v>804</v>
      </c>
      <c r="J139" s="427"/>
      <c r="K139" s="286" t="s">
        <v>914</v>
      </c>
      <c r="L139" s="286" t="s">
        <v>914</v>
      </c>
      <c r="M139" s="286" t="s">
        <v>914</v>
      </c>
      <c r="N139" s="428" t="s">
        <v>914</v>
      </c>
      <c r="O139" s="301"/>
      <c r="P139" s="119"/>
    </row>
    <row r="140" spans="1:16" ht="15" customHeight="1">
      <c r="A140" s="564" t="s">
        <v>248</v>
      </c>
      <c r="B140" s="564"/>
      <c r="C140" s="564"/>
      <c r="D140" s="564"/>
      <c r="E140" s="564"/>
      <c r="F140" s="564"/>
      <c r="G140" s="564"/>
      <c r="H140" s="564"/>
      <c r="I140" s="191"/>
      <c r="J140" s="429"/>
      <c r="K140" s="448"/>
      <c r="L140" s="448"/>
      <c r="M140" s="448"/>
      <c r="N140" s="449"/>
      <c r="O140" s="301"/>
      <c r="P140" s="119"/>
    </row>
    <row r="141" spans="1:16" ht="15" customHeight="1">
      <c r="A141" s="562" t="s">
        <v>285</v>
      </c>
      <c r="B141" s="562"/>
      <c r="C141" s="562"/>
      <c r="D141" s="562"/>
      <c r="E141" s="562"/>
      <c r="F141" s="562"/>
      <c r="G141" s="562"/>
      <c r="H141" s="562"/>
      <c r="I141" s="186" t="s">
        <v>805</v>
      </c>
      <c r="J141" s="436" t="s">
        <v>806</v>
      </c>
      <c r="K141" s="437" t="s">
        <v>914</v>
      </c>
      <c r="L141" s="437" t="s">
        <v>914</v>
      </c>
      <c r="M141" s="437" t="s">
        <v>914</v>
      </c>
      <c r="N141" s="438" t="s">
        <v>914</v>
      </c>
      <c r="O141" s="301"/>
      <c r="P141" s="119"/>
    </row>
    <row r="142" spans="1:16" ht="15" customHeight="1">
      <c r="A142" s="563" t="s">
        <v>286</v>
      </c>
      <c r="B142" s="563"/>
      <c r="C142" s="563"/>
      <c r="D142" s="563"/>
      <c r="E142" s="563"/>
      <c r="F142" s="563"/>
      <c r="G142" s="563"/>
      <c r="H142" s="563"/>
      <c r="I142" s="196" t="s">
        <v>807</v>
      </c>
      <c r="J142" s="427" t="s">
        <v>808</v>
      </c>
      <c r="K142" s="286" t="s">
        <v>914</v>
      </c>
      <c r="L142" s="286" t="s">
        <v>914</v>
      </c>
      <c r="M142" s="286" t="s">
        <v>914</v>
      </c>
      <c r="N142" s="428" t="s">
        <v>914</v>
      </c>
      <c r="O142" s="301"/>
      <c r="P142" s="119"/>
    </row>
    <row r="143" spans="1:16" ht="15" customHeight="1">
      <c r="A143" s="559" t="s">
        <v>287</v>
      </c>
      <c r="B143" s="559"/>
      <c r="C143" s="559"/>
      <c r="D143" s="559"/>
      <c r="E143" s="559"/>
      <c r="F143" s="559"/>
      <c r="G143" s="559"/>
      <c r="H143" s="559"/>
      <c r="I143" s="196" t="s">
        <v>662</v>
      </c>
      <c r="J143" s="427"/>
      <c r="K143" s="286" t="s">
        <v>914</v>
      </c>
      <c r="L143" s="286" t="s">
        <v>914</v>
      </c>
      <c r="M143" s="286" t="s">
        <v>914</v>
      </c>
      <c r="N143" s="428" t="s">
        <v>914</v>
      </c>
      <c r="O143" s="301"/>
      <c r="P143" s="119"/>
    </row>
    <row r="144" spans="1:16" ht="15" customHeight="1">
      <c r="A144" s="564" t="s">
        <v>248</v>
      </c>
      <c r="B144" s="564"/>
      <c r="C144" s="564"/>
      <c r="D144" s="564"/>
      <c r="E144" s="564"/>
      <c r="F144" s="564"/>
      <c r="G144" s="564"/>
      <c r="H144" s="564"/>
      <c r="I144" s="191"/>
      <c r="J144" s="429"/>
      <c r="K144" s="448"/>
      <c r="L144" s="448"/>
      <c r="M144" s="448"/>
      <c r="N144" s="449"/>
      <c r="O144" s="301"/>
      <c r="P144" s="119"/>
    </row>
    <row r="145" spans="1:16" ht="15" customHeight="1">
      <c r="A145" s="562" t="s">
        <v>288</v>
      </c>
      <c r="B145" s="562"/>
      <c r="C145" s="562"/>
      <c r="D145" s="562"/>
      <c r="E145" s="562"/>
      <c r="F145" s="562"/>
      <c r="G145" s="562"/>
      <c r="H145" s="562"/>
      <c r="I145" s="186" t="s">
        <v>663</v>
      </c>
      <c r="J145" s="436" t="s">
        <v>809</v>
      </c>
      <c r="K145" s="437" t="s">
        <v>914</v>
      </c>
      <c r="L145" s="437" t="s">
        <v>914</v>
      </c>
      <c r="M145" s="437" t="s">
        <v>914</v>
      </c>
      <c r="N145" s="438" t="s">
        <v>914</v>
      </c>
      <c r="O145" s="301"/>
      <c r="P145" s="119"/>
    </row>
    <row r="146" spans="1:16" ht="15" customHeight="1">
      <c r="A146" s="563" t="s">
        <v>289</v>
      </c>
      <c r="B146" s="563"/>
      <c r="C146" s="563"/>
      <c r="D146" s="563"/>
      <c r="E146" s="563"/>
      <c r="F146" s="563"/>
      <c r="G146" s="563"/>
      <c r="H146" s="563"/>
      <c r="I146" s="196" t="s">
        <v>664</v>
      </c>
      <c r="J146" s="427" t="s">
        <v>810</v>
      </c>
      <c r="K146" s="286" t="s">
        <v>914</v>
      </c>
      <c r="L146" s="286" t="s">
        <v>914</v>
      </c>
      <c r="M146" s="286" t="s">
        <v>914</v>
      </c>
      <c r="N146" s="428" t="s">
        <v>914</v>
      </c>
      <c r="O146" s="301"/>
      <c r="P146" s="119"/>
    </row>
    <row r="147" spans="1:16" ht="15" customHeight="1">
      <c r="A147" s="559" t="s">
        <v>290</v>
      </c>
      <c r="B147" s="559"/>
      <c r="C147" s="559"/>
      <c r="D147" s="559"/>
      <c r="E147" s="559"/>
      <c r="F147" s="559"/>
      <c r="G147" s="559"/>
      <c r="H147" s="559"/>
      <c r="I147" s="196" t="s">
        <v>811</v>
      </c>
      <c r="J147" s="427"/>
      <c r="K147" s="286">
        <v>-51254526.04</v>
      </c>
      <c r="L147" s="286">
        <v>-7662755.62</v>
      </c>
      <c r="M147" s="286" t="s">
        <v>914</v>
      </c>
      <c r="N147" s="428">
        <v>-58917281.66</v>
      </c>
      <c r="O147" s="301"/>
      <c r="P147" s="119"/>
    </row>
    <row r="148" spans="1:16" ht="15" customHeight="1">
      <c r="A148" s="564" t="s">
        <v>248</v>
      </c>
      <c r="B148" s="564"/>
      <c r="C148" s="564"/>
      <c r="D148" s="564"/>
      <c r="E148" s="564"/>
      <c r="F148" s="564"/>
      <c r="G148" s="564"/>
      <c r="H148" s="564"/>
      <c r="I148" s="191"/>
      <c r="J148" s="429"/>
      <c r="K148" s="448"/>
      <c r="L148" s="448"/>
      <c r="M148" s="448"/>
      <c r="N148" s="449"/>
      <c r="O148" s="301"/>
      <c r="P148" s="119"/>
    </row>
    <row r="149" spans="1:16" ht="15" customHeight="1">
      <c r="A149" s="562" t="s">
        <v>291</v>
      </c>
      <c r="B149" s="562"/>
      <c r="C149" s="562"/>
      <c r="D149" s="562"/>
      <c r="E149" s="562"/>
      <c r="F149" s="562"/>
      <c r="G149" s="562"/>
      <c r="H149" s="562"/>
      <c r="I149" s="186" t="s">
        <v>812</v>
      </c>
      <c r="J149" s="436" t="s">
        <v>813</v>
      </c>
      <c r="K149" s="437">
        <v>87452050.03</v>
      </c>
      <c r="L149" s="437">
        <v>268988028.84</v>
      </c>
      <c r="M149" s="437" t="s">
        <v>914</v>
      </c>
      <c r="N149" s="438">
        <v>356440078.87</v>
      </c>
      <c r="O149" s="301"/>
      <c r="P149" s="119"/>
    </row>
    <row r="150" spans="1:16" ht="15" customHeight="1" thickBot="1">
      <c r="A150" s="563" t="s">
        <v>292</v>
      </c>
      <c r="B150" s="563"/>
      <c r="C150" s="563"/>
      <c r="D150" s="563"/>
      <c r="E150" s="563"/>
      <c r="F150" s="563"/>
      <c r="G150" s="563"/>
      <c r="H150" s="563"/>
      <c r="I150" s="201" t="s">
        <v>814</v>
      </c>
      <c r="J150" s="382" t="s">
        <v>815</v>
      </c>
      <c r="K150" s="439">
        <v>138706576.07</v>
      </c>
      <c r="L150" s="439">
        <v>276650784.46</v>
      </c>
      <c r="M150" s="439" t="s">
        <v>914</v>
      </c>
      <c r="N150" s="440">
        <v>415357360.53</v>
      </c>
      <c r="O150" s="301"/>
      <c r="P150" s="119"/>
    </row>
    <row r="151" spans="1:16" ht="15" customHeight="1">
      <c r="A151" s="441"/>
      <c r="B151" s="464"/>
      <c r="C151" s="464"/>
      <c r="D151" s="464"/>
      <c r="E151" s="464"/>
      <c r="F151" s="464"/>
      <c r="G151" s="464"/>
      <c r="H151" s="464"/>
      <c r="I151" s="206"/>
      <c r="J151" s="206"/>
      <c r="K151" s="442"/>
      <c r="L151" s="442"/>
      <c r="M151" s="442"/>
      <c r="N151" s="442"/>
      <c r="O151" s="291"/>
      <c r="P151" s="119"/>
    </row>
    <row r="152" spans="1:16" ht="15" customHeight="1">
      <c r="A152" s="461"/>
      <c r="B152" s="125"/>
      <c r="C152" s="125"/>
      <c r="D152" s="125"/>
      <c r="E152" s="125"/>
      <c r="F152" s="125"/>
      <c r="G152" s="125"/>
      <c r="H152" s="125"/>
      <c r="I152" s="233"/>
      <c r="J152" s="233"/>
      <c r="K152" s="462"/>
      <c r="L152" s="462"/>
      <c r="M152" s="462"/>
      <c r="N152" s="462"/>
      <c r="O152" s="291"/>
      <c r="P152" s="119"/>
    </row>
    <row r="153" spans="1:16" ht="15" customHeight="1">
      <c r="A153" s="269"/>
      <c r="B153" s="153"/>
      <c r="C153" s="153"/>
      <c r="D153" s="153"/>
      <c r="E153" s="153"/>
      <c r="F153" s="153"/>
      <c r="G153" s="153"/>
      <c r="H153" s="153"/>
      <c r="I153" s="210"/>
      <c r="J153" s="210"/>
      <c r="K153" s="210"/>
      <c r="L153" s="210"/>
      <c r="M153" s="210"/>
      <c r="N153" s="210" t="s">
        <v>293</v>
      </c>
      <c r="O153" s="291"/>
      <c r="P153" s="119"/>
    </row>
    <row r="154" spans="1:16" ht="15" customHeight="1">
      <c r="A154" s="539" t="s">
        <v>691</v>
      </c>
      <c r="B154" s="539"/>
      <c r="C154" s="539"/>
      <c r="D154" s="539"/>
      <c r="E154" s="539"/>
      <c r="F154" s="539"/>
      <c r="G154" s="539"/>
      <c r="H154" s="539"/>
      <c r="I154" s="538" t="s">
        <v>235</v>
      </c>
      <c r="J154" s="505" t="s">
        <v>236</v>
      </c>
      <c r="K154" s="444" t="s">
        <v>237</v>
      </c>
      <c r="L154" s="445" t="s">
        <v>1151</v>
      </c>
      <c r="M154" s="445" t="s">
        <v>1152</v>
      </c>
      <c r="N154" s="533" t="s">
        <v>692</v>
      </c>
      <c r="O154" s="291"/>
      <c r="P154" s="119"/>
    </row>
    <row r="155" spans="1:16" ht="15" customHeight="1">
      <c r="A155" s="539"/>
      <c r="B155" s="539"/>
      <c r="C155" s="539"/>
      <c r="D155" s="539"/>
      <c r="E155" s="539"/>
      <c r="F155" s="539"/>
      <c r="G155" s="539"/>
      <c r="H155" s="539"/>
      <c r="I155" s="538"/>
      <c r="J155" s="505"/>
      <c r="K155" s="219" t="s">
        <v>1153</v>
      </c>
      <c r="L155" s="257" t="s">
        <v>1154</v>
      </c>
      <c r="M155" s="257" t="s">
        <v>1155</v>
      </c>
      <c r="N155" s="533"/>
      <c r="O155" s="291"/>
      <c r="P155" s="119"/>
    </row>
    <row r="156" spans="1:16" ht="15" customHeight="1" thickBot="1">
      <c r="A156" s="560">
        <v>1</v>
      </c>
      <c r="B156" s="560"/>
      <c r="C156" s="560"/>
      <c r="D156" s="560"/>
      <c r="E156" s="560"/>
      <c r="F156" s="560"/>
      <c r="G156" s="560"/>
      <c r="H156" s="560"/>
      <c r="I156" s="176" t="s">
        <v>560</v>
      </c>
      <c r="J156" s="177">
        <v>3</v>
      </c>
      <c r="K156" s="176" t="s">
        <v>1156</v>
      </c>
      <c r="L156" s="176" t="s">
        <v>1157</v>
      </c>
      <c r="M156" s="176" t="s">
        <v>561</v>
      </c>
      <c r="N156" s="456" t="s">
        <v>562</v>
      </c>
      <c r="O156" s="291"/>
      <c r="P156" s="119"/>
    </row>
    <row r="157" spans="1:16" ht="15" customHeight="1">
      <c r="A157" s="561" t="s">
        <v>1166</v>
      </c>
      <c r="B157" s="561"/>
      <c r="C157" s="561"/>
      <c r="D157" s="561"/>
      <c r="E157" s="561"/>
      <c r="F157" s="561"/>
      <c r="G157" s="561"/>
      <c r="H157" s="561"/>
      <c r="I157" s="224" t="s">
        <v>668</v>
      </c>
      <c r="J157" s="423"/>
      <c r="K157" s="425">
        <v>-8823277.71</v>
      </c>
      <c r="L157" s="425">
        <v>5814051.01</v>
      </c>
      <c r="M157" s="425">
        <v>556738.9</v>
      </c>
      <c r="N157" s="426">
        <v>-2452487.8</v>
      </c>
      <c r="O157" s="301"/>
      <c r="P157" s="119"/>
    </row>
    <row r="158" spans="1:16" ht="15" customHeight="1">
      <c r="A158" s="559" t="s">
        <v>294</v>
      </c>
      <c r="B158" s="559"/>
      <c r="C158" s="559"/>
      <c r="D158" s="559"/>
      <c r="E158" s="559"/>
      <c r="F158" s="559"/>
      <c r="G158" s="559"/>
      <c r="H158" s="559"/>
      <c r="I158" s="196" t="s">
        <v>796</v>
      </c>
      <c r="J158" s="427"/>
      <c r="K158" s="286" t="s">
        <v>914</v>
      </c>
      <c r="L158" s="286" t="s">
        <v>914</v>
      </c>
      <c r="M158" s="286" t="s">
        <v>914</v>
      </c>
      <c r="N158" s="428" t="s">
        <v>914</v>
      </c>
      <c r="O158" s="301"/>
      <c r="P158" s="119"/>
    </row>
    <row r="159" spans="1:16" ht="15" customHeight="1">
      <c r="A159" s="536" t="s">
        <v>248</v>
      </c>
      <c r="B159" s="536"/>
      <c r="C159" s="536"/>
      <c r="D159" s="536"/>
      <c r="E159" s="536"/>
      <c r="F159" s="536"/>
      <c r="G159" s="536"/>
      <c r="H159" s="536"/>
      <c r="I159" s="191"/>
      <c r="J159" s="429"/>
      <c r="K159" s="448"/>
      <c r="L159" s="448"/>
      <c r="M159" s="448"/>
      <c r="N159" s="449"/>
      <c r="O159" s="301"/>
      <c r="P159" s="119"/>
    </row>
    <row r="160" spans="1:16" ht="15" customHeight="1">
      <c r="A160" s="537" t="s">
        <v>295</v>
      </c>
      <c r="B160" s="537"/>
      <c r="C160" s="537"/>
      <c r="D160" s="537"/>
      <c r="E160" s="537"/>
      <c r="F160" s="537"/>
      <c r="G160" s="537"/>
      <c r="H160" s="537"/>
      <c r="I160" s="186" t="s">
        <v>816</v>
      </c>
      <c r="J160" s="436" t="s">
        <v>817</v>
      </c>
      <c r="K160" s="437" t="s">
        <v>914</v>
      </c>
      <c r="L160" s="437" t="s">
        <v>914</v>
      </c>
      <c r="M160" s="437" t="s">
        <v>914</v>
      </c>
      <c r="N160" s="438" t="s">
        <v>914</v>
      </c>
      <c r="O160" s="301"/>
      <c r="P160" s="119"/>
    </row>
    <row r="161" spans="1:16" ht="15" customHeight="1">
      <c r="A161" s="541" t="s">
        <v>296</v>
      </c>
      <c r="B161" s="541"/>
      <c r="C161" s="541"/>
      <c r="D161" s="541"/>
      <c r="E161" s="541"/>
      <c r="F161" s="541"/>
      <c r="G161" s="541"/>
      <c r="H161" s="541"/>
      <c r="I161" s="196" t="s">
        <v>818</v>
      </c>
      <c r="J161" s="427" t="s">
        <v>819</v>
      </c>
      <c r="K161" s="286" t="s">
        <v>914</v>
      </c>
      <c r="L161" s="286" t="s">
        <v>914</v>
      </c>
      <c r="M161" s="286" t="s">
        <v>914</v>
      </c>
      <c r="N161" s="428" t="s">
        <v>914</v>
      </c>
      <c r="O161" s="301"/>
      <c r="P161" s="119"/>
    </row>
    <row r="162" spans="1:16" ht="15" customHeight="1">
      <c r="A162" s="559" t="s">
        <v>297</v>
      </c>
      <c r="B162" s="559"/>
      <c r="C162" s="559"/>
      <c r="D162" s="559"/>
      <c r="E162" s="559"/>
      <c r="F162" s="559"/>
      <c r="G162" s="559"/>
      <c r="H162" s="559"/>
      <c r="I162" s="196" t="s">
        <v>676</v>
      </c>
      <c r="J162" s="427"/>
      <c r="K162" s="286" t="s">
        <v>914</v>
      </c>
      <c r="L162" s="286" t="s">
        <v>914</v>
      </c>
      <c r="M162" s="286" t="s">
        <v>914</v>
      </c>
      <c r="N162" s="428" t="s">
        <v>914</v>
      </c>
      <c r="O162" s="301"/>
      <c r="P162" s="119"/>
    </row>
    <row r="163" spans="1:16" ht="15" customHeight="1">
      <c r="A163" s="536" t="s">
        <v>248</v>
      </c>
      <c r="B163" s="536"/>
      <c r="C163" s="536"/>
      <c r="D163" s="536"/>
      <c r="E163" s="536"/>
      <c r="F163" s="536"/>
      <c r="G163" s="536"/>
      <c r="H163" s="536"/>
      <c r="I163" s="191"/>
      <c r="J163" s="429"/>
      <c r="K163" s="448"/>
      <c r="L163" s="448"/>
      <c r="M163" s="448"/>
      <c r="N163" s="449"/>
      <c r="O163" s="301"/>
      <c r="P163" s="119"/>
    </row>
    <row r="164" spans="1:16" ht="15" customHeight="1">
      <c r="A164" s="537" t="s">
        <v>298</v>
      </c>
      <c r="B164" s="537"/>
      <c r="C164" s="537"/>
      <c r="D164" s="537"/>
      <c r="E164" s="537"/>
      <c r="F164" s="537"/>
      <c r="G164" s="537"/>
      <c r="H164" s="537"/>
      <c r="I164" s="186" t="s">
        <v>677</v>
      </c>
      <c r="J164" s="436" t="s">
        <v>820</v>
      </c>
      <c r="K164" s="437" t="s">
        <v>914</v>
      </c>
      <c r="L164" s="437" t="s">
        <v>914</v>
      </c>
      <c r="M164" s="437" t="s">
        <v>914</v>
      </c>
      <c r="N164" s="438" t="s">
        <v>914</v>
      </c>
      <c r="O164" s="301"/>
      <c r="P164" s="119"/>
    </row>
    <row r="165" spans="1:16" ht="15" customHeight="1">
      <c r="A165" s="541" t="s">
        <v>299</v>
      </c>
      <c r="B165" s="541"/>
      <c r="C165" s="541"/>
      <c r="D165" s="541"/>
      <c r="E165" s="541"/>
      <c r="F165" s="541"/>
      <c r="G165" s="541"/>
      <c r="H165" s="541"/>
      <c r="I165" s="196" t="s">
        <v>678</v>
      </c>
      <c r="J165" s="427" t="s">
        <v>821</v>
      </c>
      <c r="K165" s="286" t="s">
        <v>914</v>
      </c>
      <c r="L165" s="286" t="s">
        <v>914</v>
      </c>
      <c r="M165" s="286" t="s">
        <v>914</v>
      </c>
      <c r="N165" s="428" t="s">
        <v>914</v>
      </c>
      <c r="O165" s="301"/>
      <c r="P165" s="119"/>
    </row>
    <row r="166" spans="1:16" ht="15" customHeight="1">
      <c r="A166" s="559" t="s">
        <v>300</v>
      </c>
      <c r="B166" s="559"/>
      <c r="C166" s="559"/>
      <c r="D166" s="559"/>
      <c r="E166" s="559"/>
      <c r="F166" s="559"/>
      <c r="G166" s="559"/>
      <c r="H166" s="559"/>
      <c r="I166" s="196" t="s">
        <v>806</v>
      </c>
      <c r="J166" s="427"/>
      <c r="K166" s="286">
        <v>-8823277.71</v>
      </c>
      <c r="L166" s="286">
        <v>5814051.01</v>
      </c>
      <c r="M166" s="286">
        <v>556738.9</v>
      </c>
      <c r="N166" s="428">
        <v>-2452487.8</v>
      </c>
      <c r="O166" s="301"/>
      <c r="P166" s="119"/>
    </row>
    <row r="167" spans="1:16" ht="15" customHeight="1">
      <c r="A167" s="536" t="s">
        <v>248</v>
      </c>
      <c r="B167" s="536"/>
      <c r="C167" s="536"/>
      <c r="D167" s="536"/>
      <c r="E167" s="536"/>
      <c r="F167" s="536"/>
      <c r="G167" s="536"/>
      <c r="H167" s="536"/>
      <c r="I167" s="191"/>
      <c r="J167" s="429"/>
      <c r="K167" s="448"/>
      <c r="L167" s="448"/>
      <c r="M167" s="448"/>
      <c r="N167" s="449"/>
      <c r="O167" s="301"/>
      <c r="P167" s="119"/>
    </row>
    <row r="168" spans="1:16" ht="15" customHeight="1">
      <c r="A168" s="537" t="s">
        <v>822</v>
      </c>
      <c r="B168" s="537"/>
      <c r="C168" s="537"/>
      <c r="D168" s="537"/>
      <c r="E168" s="537"/>
      <c r="F168" s="537"/>
      <c r="G168" s="537"/>
      <c r="H168" s="537"/>
      <c r="I168" s="186" t="s">
        <v>823</v>
      </c>
      <c r="J168" s="436" t="s">
        <v>824</v>
      </c>
      <c r="K168" s="437">
        <v>85007606.37</v>
      </c>
      <c r="L168" s="437">
        <v>164540290.1</v>
      </c>
      <c r="M168" s="437">
        <v>2370890.9</v>
      </c>
      <c r="N168" s="438">
        <v>251918787.37</v>
      </c>
      <c r="O168" s="301"/>
      <c r="P168" s="119"/>
    </row>
    <row r="169" spans="1:16" ht="15" customHeight="1" thickBot="1">
      <c r="A169" s="541" t="s">
        <v>825</v>
      </c>
      <c r="B169" s="541"/>
      <c r="C169" s="541"/>
      <c r="D169" s="541"/>
      <c r="E169" s="541"/>
      <c r="F169" s="541"/>
      <c r="G169" s="541"/>
      <c r="H169" s="541"/>
      <c r="I169" s="201" t="s">
        <v>826</v>
      </c>
      <c r="J169" s="382" t="s">
        <v>827</v>
      </c>
      <c r="K169" s="439">
        <v>93830884.08</v>
      </c>
      <c r="L169" s="439">
        <v>158726239.09</v>
      </c>
      <c r="M169" s="439">
        <v>1814152</v>
      </c>
      <c r="N169" s="440">
        <v>254371275.17</v>
      </c>
      <c r="O169" s="301"/>
      <c r="P169" s="119"/>
    </row>
    <row r="170" spans="1:16" ht="15" customHeight="1">
      <c r="A170" s="459"/>
      <c r="B170" s="459"/>
      <c r="C170" s="459"/>
      <c r="D170" s="459"/>
      <c r="E170" s="459"/>
      <c r="F170" s="459"/>
      <c r="G170" s="459"/>
      <c r="H170" s="459"/>
      <c r="I170" s="206"/>
      <c r="J170" s="206"/>
      <c r="K170" s="442"/>
      <c r="L170" s="442"/>
      <c r="M170" s="442"/>
      <c r="N170" s="442"/>
      <c r="O170" s="291"/>
      <c r="P170" s="119"/>
    </row>
    <row r="171" spans="1:16" ht="15" customHeight="1">
      <c r="A171" s="233" t="s">
        <v>162</v>
      </c>
      <c r="B171" s="509"/>
      <c r="C171" s="509"/>
      <c r="D171" s="530" t="s">
        <v>301</v>
      </c>
      <c r="E171" s="530"/>
      <c r="F171" s="530"/>
      <c r="G171" s="291"/>
      <c r="H171" s="534" t="s">
        <v>828</v>
      </c>
      <c r="I171" s="534"/>
      <c r="J171" s="534"/>
      <c r="K171" s="153"/>
      <c r="L171" s="530" t="s">
        <v>302</v>
      </c>
      <c r="M171" s="530"/>
      <c r="N171" s="291"/>
      <c r="O171" s="291"/>
      <c r="P171" s="119"/>
    </row>
    <row r="172" spans="1:16" ht="15" customHeight="1">
      <c r="A172" s="130"/>
      <c r="B172" s="535" t="s">
        <v>303</v>
      </c>
      <c r="C172" s="535"/>
      <c r="D172" s="535" t="s">
        <v>304</v>
      </c>
      <c r="E172" s="535"/>
      <c r="F172" s="535"/>
      <c r="G172" s="125"/>
      <c r="H172" s="466"/>
      <c r="I172" s="291"/>
      <c r="J172" s="119"/>
      <c r="K172" s="465" t="s">
        <v>303</v>
      </c>
      <c r="L172" s="535" t="s">
        <v>304</v>
      </c>
      <c r="M172" s="535"/>
      <c r="N172" s="291"/>
      <c r="O172" s="291"/>
      <c r="P172" s="119"/>
    </row>
    <row r="173" spans="1:16" ht="15" customHeight="1">
      <c r="A173" s="130"/>
      <c r="B173" s="467"/>
      <c r="C173" s="125"/>
      <c r="D173" s="466"/>
      <c r="E173" s="125"/>
      <c r="F173" s="125"/>
      <c r="G173" s="125"/>
      <c r="H173" s="467"/>
      <c r="I173" s="233"/>
      <c r="J173" s="466"/>
      <c r="K173" s="468"/>
      <c r="L173" s="468"/>
      <c r="M173" s="130"/>
      <c r="N173" s="130"/>
      <c r="O173" s="291"/>
      <c r="P173" s="119"/>
    </row>
    <row r="174" spans="1:16" ht="15" customHeight="1">
      <c r="A174" s="130"/>
      <c r="B174" s="467"/>
      <c r="C174" s="125"/>
      <c r="D174" s="466"/>
      <c r="E174" s="125"/>
      <c r="F174" s="291"/>
      <c r="G174" s="469"/>
      <c r="H174" s="470" t="s">
        <v>305</v>
      </c>
      <c r="I174" s="125"/>
      <c r="J174" s="125"/>
      <c r="K174" s="291"/>
      <c r="L174" s="557"/>
      <c r="M174" s="557"/>
      <c r="N174" s="557"/>
      <c r="O174" s="291"/>
      <c r="P174" s="119"/>
    </row>
    <row r="175" spans="1:16" ht="15" customHeight="1">
      <c r="A175" s="130"/>
      <c r="B175" s="467"/>
      <c r="C175" s="125"/>
      <c r="D175" s="466"/>
      <c r="E175" s="125"/>
      <c r="F175" s="131"/>
      <c r="G175" s="131"/>
      <c r="H175" s="144"/>
      <c r="I175" s="125"/>
      <c r="J175" s="125"/>
      <c r="K175" s="291"/>
      <c r="L175" s="518" t="s">
        <v>306</v>
      </c>
      <c r="M175" s="518"/>
      <c r="N175" s="518"/>
      <c r="O175" s="291"/>
      <c r="P175" s="119"/>
    </row>
    <row r="176" spans="1:16" ht="15" customHeight="1">
      <c r="A176" s="130"/>
      <c r="B176" s="467"/>
      <c r="C176" s="125"/>
      <c r="D176" s="466"/>
      <c r="E176" s="125"/>
      <c r="F176" s="125"/>
      <c r="G176" s="125"/>
      <c r="H176" s="467"/>
      <c r="I176" s="233"/>
      <c r="J176" s="466"/>
      <c r="K176" s="468"/>
      <c r="L176" s="468"/>
      <c r="M176" s="130"/>
      <c r="N176" s="130"/>
      <c r="O176" s="291"/>
      <c r="P176" s="119"/>
    </row>
    <row r="177" spans="1:16" ht="15" customHeight="1">
      <c r="A177" s="130"/>
      <c r="B177" s="467"/>
      <c r="C177" s="125"/>
      <c r="D177" s="531" t="s">
        <v>162</v>
      </c>
      <c r="E177" s="531"/>
      <c r="F177" s="558"/>
      <c r="G177" s="558"/>
      <c r="H177" s="558"/>
      <c r="I177" s="558"/>
      <c r="J177" s="558"/>
      <c r="K177" s="471"/>
      <c r="L177" s="530"/>
      <c r="M177" s="530"/>
      <c r="N177" s="291"/>
      <c r="O177" s="291"/>
      <c r="P177" s="119"/>
    </row>
    <row r="178" spans="1:16" ht="15" customHeight="1">
      <c r="A178" s="130"/>
      <c r="B178" s="467"/>
      <c r="C178" s="125"/>
      <c r="D178" s="531" t="s">
        <v>307</v>
      </c>
      <c r="E178" s="531"/>
      <c r="F178" s="532" t="s">
        <v>308</v>
      </c>
      <c r="G178" s="532"/>
      <c r="H178" s="532"/>
      <c r="I178" s="532"/>
      <c r="J178" s="532"/>
      <c r="K178" s="472" t="s">
        <v>303</v>
      </c>
      <c r="L178" s="518" t="s">
        <v>304</v>
      </c>
      <c r="M178" s="518"/>
      <c r="N178" s="291"/>
      <c r="O178" s="291"/>
      <c r="P178" s="119"/>
    </row>
    <row r="179" spans="1:16" ht="15" customHeight="1">
      <c r="A179" s="130"/>
      <c r="B179" s="467"/>
      <c r="C179" s="125"/>
      <c r="D179" s="466"/>
      <c r="E179" s="125"/>
      <c r="F179" s="125"/>
      <c r="G179" s="125"/>
      <c r="H179" s="467"/>
      <c r="I179" s="233"/>
      <c r="J179" s="466"/>
      <c r="K179" s="468"/>
      <c r="L179" s="468"/>
      <c r="M179" s="130"/>
      <c r="N179" s="130"/>
      <c r="O179" s="291"/>
      <c r="P179" s="119"/>
    </row>
    <row r="180" spans="1:16" ht="15" customHeight="1">
      <c r="A180" s="144" t="s">
        <v>1167</v>
      </c>
      <c r="B180" s="530"/>
      <c r="C180" s="530"/>
      <c r="D180" s="530"/>
      <c r="E180" s="509"/>
      <c r="F180" s="509"/>
      <c r="G180" s="530"/>
      <c r="H180" s="530"/>
      <c r="I180" s="530"/>
      <c r="J180" s="530"/>
      <c r="K180" s="211"/>
      <c r="L180" s="291"/>
      <c r="M180" s="291"/>
      <c r="N180" s="291"/>
      <c r="O180" s="291"/>
      <c r="P180" s="119"/>
    </row>
    <row r="181" spans="1:16" ht="15" customHeight="1">
      <c r="A181" s="289"/>
      <c r="B181" s="529" t="s">
        <v>309</v>
      </c>
      <c r="C181" s="529"/>
      <c r="D181" s="529"/>
      <c r="E181" s="529" t="s">
        <v>310</v>
      </c>
      <c r="F181" s="529"/>
      <c r="G181" s="529" t="s">
        <v>304</v>
      </c>
      <c r="H181" s="529"/>
      <c r="I181" s="529"/>
      <c r="J181" s="529"/>
      <c r="K181" s="473" t="s">
        <v>311</v>
      </c>
      <c r="L181" s="291"/>
      <c r="M181" s="291"/>
      <c r="N181" s="291"/>
      <c r="O181" s="291"/>
      <c r="P181" s="119"/>
    </row>
    <row r="182" spans="1:16" ht="15" customHeight="1">
      <c r="A182" s="468" t="s">
        <v>312</v>
      </c>
      <c r="B182" s="125"/>
      <c r="C182" s="125"/>
      <c r="D182" s="125"/>
      <c r="E182" s="125"/>
      <c r="F182" s="125"/>
      <c r="G182" s="125"/>
      <c r="H182" s="125"/>
      <c r="I182" s="233"/>
      <c r="J182" s="144"/>
      <c r="K182" s="468"/>
      <c r="L182" s="468"/>
      <c r="M182" s="130"/>
      <c r="N182" s="130"/>
      <c r="O182" s="291"/>
      <c r="P182" s="119"/>
    </row>
    <row r="183" spans="1:16" ht="15" customHeight="1">
      <c r="A183" s="117"/>
      <c r="B183" s="131"/>
      <c r="C183" s="131"/>
      <c r="D183" s="131"/>
      <c r="E183" s="131"/>
      <c r="F183" s="131"/>
      <c r="G183" s="131"/>
      <c r="H183" s="131"/>
      <c r="I183" s="289"/>
      <c r="J183" s="131"/>
      <c r="K183" s="289"/>
      <c r="L183" s="289"/>
      <c r="M183" s="289"/>
      <c r="N183" s="289"/>
      <c r="O183" s="291"/>
      <c r="P183" s="119"/>
    </row>
    <row r="184" spans="1:16" ht="15" customHeight="1">
      <c r="A184" s="117"/>
      <c r="B184" s="131"/>
      <c r="C184" s="131"/>
      <c r="D184" s="131"/>
      <c r="E184" s="131"/>
      <c r="F184" s="131"/>
      <c r="G184" s="131"/>
      <c r="H184" s="131"/>
      <c r="I184" s="289"/>
      <c r="J184" s="131"/>
      <c r="K184" s="289"/>
      <c r="L184" s="289"/>
      <c r="M184" s="289"/>
      <c r="N184" s="289"/>
      <c r="O184" s="291"/>
      <c r="P184" s="119"/>
    </row>
    <row r="185" spans="1:16" ht="15" customHeight="1">
      <c r="A185" s="117"/>
      <c r="B185" s="131"/>
      <c r="C185" s="131"/>
      <c r="D185" s="131"/>
      <c r="E185" s="131"/>
      <c r="F185" s="131"/>
      <c r="G185" s="131"/>
      <c r="H185" s="131"/>
      <c r="I185" s="289"/>
      <c r="J185" s="131"/>
      <c r="K185" s="289"/>
      <c r="L185" s="289"/>
      <c r="M185" s="289"/>
      <c r="N185" s="289"/>
      <c r="O185" s="291"/>
      <c r="P185" s="119"/>
    </row>
    <row r="186" spans="1:16" ht="15" customHeight="1">
      <c r="A186" s="117"/>
      <c r="B186" s="131"/>
      <c r="C186" s="131"/>
      <c r="D186" s="131"/>
      <c r="E186" s="131"/>
      <c r="F186" s="131"/>
      <c r="G186" s="131"/>
      <c r="H186" s="131"/>
      <c r="I186" s="289"/>
      <c r="J186" s="131"/>
      <c r="K186" s="289"/>
      <c r="L186" s="289"/>
      <c r="M186" s="289"/>
      <c r="N186" s="289"/>
      <c r="O186" s="291"/>
      <c r="P186" s="119"/>
    </row>
    <row r="187" spans="1:16" ht="15" customHeight="1">
      <c r="A187" s="117"/>
      <c r="B187" s="131"/>
      <c r="C187" s="131"/>
      <c r="D187" s="131"/>
      <c r="E187" s="131"/>
      <c r="F187" s="131"/>
      <c r="G187" s="131"/>
      <c r="H187" s="131"/>
      <c r="I187" s="289"/>
      <c r="J187" s="131"/>
      <c r="K187" s="289"/>
      <c r="L187" s="289"/>
      <c r="M187" s="289"/>
      <c r="N187" s="289"/>
      <c r="O187" s="291"/>
      <c r="P187" s="119"/>
    </row>
    <row r="188" spans="1:16" ht="15" customHeight="1">
      <c r="A188" s="117"/>
      <c r="B188" s="131"/>
      <c r="C188" s="131"/>
      <c r="D188" s="131"/>
      <c r="E188" s="131"/>
      <c r="F188" s="131"/>
      <c r="G188" s="131"/>
      <c r="H188" s="131"/>
      <c r="I188" s="289"/>
      <c r="J188" s="131"/>
      <c r="K188" s="289"/>
      <c r="L188" s="289"/>
      <c r="M188" s="289"/>
      <c r="N188" s="289"/>
      <c r="O188" s="291"/>
      <c r="P188" s="119"/>
    </row>
    <row r="189" spans="1:16" ht="15" customHeight="1">
      <c r="A189" s="117"/>
      <c r="B189" s="131"/>
      <c r="C189" s="131"/>
      <c r="D189" s="131"/>
      <c r="E189" s="131"/>
      <c r="F189" s="131"/>
      <c r="G189" s="131"/>
      <c r="H189" s="131"/>
      <c r="I189" s="289"/>
      <c r="J189" s="131"/>
      <c r="K189" s="289"/>
      <c r="L189" s="289"/>
      <c r="M189" s="289"/>
      <c r="N189" s="289"/>
      <c r="O189" s="291"/>
      <c r="P189" s="119"/>
    </row>
    <row r="190" spans="1:16" ht="15" customHeight="1">
      <c r="A190" s="117"/>
      <c r="B190" s="131"/>
      <c r="C190" s="131"/>
      <c r="D190" s="131"/>
      <c r="E190" s="131"/>
      <c r="F190" s="131"/>
      <c r="G190" s="131"/>
      <c r="H190" s="131"/>
      <c r="I190" s="289"/>
      <c r="J190" s="131"/>
      <c r="K190" s="289"/>
      <c r="L190" s="289"/>
      <c r="M190" s="289"/>
      <c r="N190" s="289"/>
      <c r="O190" s="291"/>
      <c r="P190" s="119"/>
    </row>
    <row r="191" spans="1:16" ht="15" customHeight="1">
      <c r="A191" s="117"/>
      <c r="B191" s="131"/>
      <c r="C191" s="131"/>
      <c r="D191" s="131"/>
      <c r="E191" s="131"/>
      <c r="F191" s="131"/>
      <c r="G191" s="131"/>
      <c r="H191" s="131"/>
      <c r="I191" s="289"/>
      <c r="J191" s="131"/>
      <c r="K191" s="289"/>
      <c r="L191" s="289"/>
      <c r="M191" s="289"/>
      <c r="N191" s="289"/>
      <c r="O191" s="291"/>
      <c r="P191" s="119"/>
    </row>
    <row r="192" spans="1:16" ht="15" customHeight="1">
      <c r="A192" s="117"/>
      <c r="B192" s="131"/>
      <c r="C192" s="131"/>
      <c r="D192" s="131"/>
      <c r="E192" s="131"/>
      <c r="F192" s="131"/>
      <c r="G192" s="131"/>
      <c r="H192" s="131"/>
      <c r="I192" s="289"/>
      <c r="J192" s="131"/>
      <c r="K192" s="289"/>
      <c r="L192" s="289"/>
      <c r="M192" s="289"/>
      <c r="N192" s="289"/>
      <c r="O192" s="291"/>
      <c r="P192" s="119"/>
    </row>
    <row r="193" spans="1:16" ht="15" customHeight="1">
      <c r="A193" s="117"/>
      <c r="B193" s="131"/>
      <c r="C193" s="131"/>
      <c r="D193" s="131"/>
      <c r="E193" s="131"/>
      <c r="F193" s="131"/>
      <c r="G193" s="131"/>
      <c r="H193" s="131"/>
      <c r="I193" s="289"/>
      <c r="J193" s="131"/>
      <c r="K193" s="289"/>
      <c r="L193" s="289"/>
      <c r="M193" s="289"/>
      <c r="N193" s="289"/>
      <c r="O193" s="291"/>
      <c r="P193" s="119"/>
    </row>
    <row r="194" spans="1:16" ht="15" customHeight="1">
      <c r="A194" s="117"/>
      <c r="B194" s="131"/>
      <c r="C194" s="131"/>
      <c r="D194" s="131"/>
      <c r="E194" s="131"/>
      <c r="F194" s="131"/>
      <c r="G194" s="131"/>
      <c r="H194" s="131"/>
      <c r="I194" s="289"/>
      <c r="J194" s="131"/>
      <c r="K194" s="289"/>
      <c r="L194" s="289"/>
      <c r="M194" s="289"/>
      <c r="N194" s="289"/>
      <c r="O194" s="291"/>
      <c r="P194" s="119"/>
    </row>
    <row r="195" spans="1:16" ht="15" customHeight="1">
      <c r="A195" s="117"/>
      <c r="B195" s="131"/>
      <c r="C195" s="131"/>
      <c r="D195" s="131"/>
      <c r="E195" s="131"/>
      <c r="F195" s="131"/>
      <c r="G195" s="131"/>
      <c r="H195" s="131"/>
      <c r="I195" s="289"/>
      <c r="J195" s="131"/>
      <c r="K195" s="289"/>
      <c r="L195" s="289"/>
      <c r="M195" s="289"/>
      <c r="N195" s="289"/>
      <c r="O195" s="291"/>
      <c r="P195" s="119"/>
    </row>
    <row r="196" spans="1:16" ht="15" customHeight="1">
      <c r="A196" s="117"/>
      <c r="B196" s="131"/>
      <c r="C196" s="131"/>
      <c r="D196" s="131"/>
      <c r="E196" s="131"/>
      <c r="F196" s="131"/>
      <c r="G196" s="131"/>
      <c r="H196" s="131"/>
      <c r="I196" s="289"/>
      <c r="J196" s="131"/>
      <c r="K196" s="289"/>
      <c r="L196" s="289"/>
      <c r="M196" s="289"/>
      <c r="N196" s="289"/>
      <c r="O196" s="291"/>
      <c r="P196" s="119"/>
    </row>
    <row r="197" spans="1:16" ht="15" customHeight="1">
      <c r="A197" s="117"/>
      <c r="B197" s="131"/>
      <c r="C197" s="131"/>
      <c r="D197" s="131"/>
      <c r="E197" s="131"/>
      <c r="F197" s="131"/>
      <c r="G197" s="131"/>
      <c r="H197" s="131"/>
      <c r="I197" s="289"/>
      <c r="J197" s="131"/>
      <c r="K197" s="289"/>
      <c r="L197" s="289"/>
      <c r="M197" s="289"/>
      <c r="N197" s="289"/>
      <c r="O197" s="291"/>
      <c r="P197" s="119"/>
    </row>
    <row r="198" spans="1:16" ht="15" customHeight="1">
      <c r="A198" s="117"/>
      <c r="B198" s="131"/>
      <c r="C198" s="131"/>
      <c r="D198" s="131"/>
      <c r="E198" s="131"/>
      <c r="F198" s="131"/>
      <c r="G198" s="131"/>
      <c r="H198" s="131"/>
      <c r="I198" s="289"/>
      <c r="J198" s="131"/>
      <c r="K198" s="289"/>
      <c r="L198" s="289"/>
      <c r="M198" s="289"/>
      <c r="N198" s="289"/>
      <c r="O198" s="291"/>
      <c r="P198" s="119"/>
    </row>
    <row r="199" spans="1:16" ht="15" customHeight="1">
      <c r="A199" s="117"/>
      <c r="B199" s="131"/>
      <c r="C199" s="131"/>
      <c r="D199" s="131"/>
      <c r="E199" s="131"/>
      <c r="F199" s="131"/>
      <c r="G199" s="131"/>
      <c r="H199" s="131"/>
      <c r="I199" s="289"/>
      <c r="J199" s="131"/>
      <c r="K199" s="289"/>
      <c r="L199" s="289"/>
      <c r="M199" s="289"/>
      <c r="N199" s="289"/>
      <c r="O199" s="291"/>
      <c r="P199" s="119"/>
    </row>
    <row r="200" spans="1:16" ht="15" customHeight="1">
      <c r="A200" s="117"/>
      <c r="B200" s="131"/>
      <c r="C200" s="131"/>
      <c r="D200" s="131"/>
      <c r="E200" s="131"/>
      <c r="F200" s="131"/>
      <c r="G200" s="131"/>
      <c r="H200" s="131"/>
      <c r="I200" s="289"/>
      <c r="J200" s="131"/>
      <c r="K200" s="289"/>
      <c r="L200" s="289"/>
      <c r="M200" s="289"/>
      <c r="N200" s="289"/>
      <c r="O200" s="291"/>
      <c r="P200" s="119"/>
    </row>
    <row r="201" spans="1:16" ht="15" customHeight="1">
      <c r="A201" s="117"/>
      <c r="B201" s="131"/>
      <c r="C201" s="131"/>
      <c r="D201" s="131"/>
      <c r="E201" s="131"/>
      <c r="F201" s="131"/>
      <c r="G201" s="131"/>
      <c r="H201" s="131"/>
      <c r="I201" s="289"/>
      <c r="J201" s="131"/>
      <c r="K201" s="289"/>
      <c r="L201" s="289"/>
      <c r="M201" s="289"/>
      <c r="N201" s="289"/>
      <c r="O201" s="291"/>
      <c r="P201" s="119"/>
    </row>
    <row r="202" spans="1:16" ht="15" customHeight="1">
      <c r="A202" s="117"/>
      <c r="B202" s="131"/>
      <c r="C202" s="131"/>
      <c r="D202" s="131"/>
      <c r="E202" s="131"/>
      <c r="F202" s="131"/>
      <c r="G202" s="131"/>
      <c r="H202" s="131"/>
      <c r="I202" s="289"/>
      <c r="J202" s="131"/>
      <c r="K202" s="289"/>
      <c r="L202" s="289"/>
      <c r="M202" s="289"/>
      <c r="N202" s="289"/>
      <c r="O202" s="291"/>
      <c r="P202" s="119"/>
    </row>
    <row r="203" spans="1:16" ht="15" customHeight="1">
      <c r="A203" s="117"/>
      <c r="B203" s="131"/>
      <c r="C203" s="131"/>
      <c r="D203" s="131"/>
      <c r="E203" s="131"/>
      <c r="F203" s="131"/>
      <c r="G203" s="131"/>
      <c r="H203" s="131"/>
      <c r="I203" s="289"/>
      <c r="J203" s="131"/>
      <c r="K203" s="289"/>
      <c r="L203" s="289"/>
      <c r="M203" s="289"/>
      <c r="N203" s="289"/>
      <c r="O203" s="291"/>
      <c r="P203" s="119"/>
    </row>
    <row r="204" spans="1:16" ht="15" customHeight="1">
      <c r="A204" s="117"/>
      <c r="B204" s="131"/>
      <c r="C204" s="131"/>
      <c r="D204" s="131"/>
      <c r="E204" s="131"/>
      <c r="F204" s="131"/>
      <c r="G204" s="131"/>
      <c r="H204" s="131"/>
      <c r="I204" s="289"/>
      <c r="J204" s="131"/>
      <c r="K204" s="289"/>
      <c r="L204" s="289"/>
      <c r="M204" s="289"/>
      <c r="N204" s="289"/>
      <c r="O204" s="291"/>
      <c r="P204" s="119"/>
    </row>
    <row r="205" spans="1:16" ht="15" customHeight="1">
      <c r="A205" s="117"/>
      <c r="B205" s="131"/>
      <c r="C205" s="131"/>
      <c r="D205" s="131"/>
      <c r="E205" s="131"/>
      <c r="F205" s="131"/>
      <c r="G205" s="131"/>
      <c r="H205" s="131"/>
      <c r="I205" s="289"/>
      <c r="J205" s="131"/>
      <c r="K205" s="289"/>
      <c r="L205" s="289"/>
      <c r="M205" s="289"/>
      <c r="N205" s="289"/>
      <c r="O205" s="291"/>
      <c r="P205" s="119"/>
    </row>
    <row r="206" spans="1:16" ht="15" customHeight="1">
      <c r="A206" s="117"/>
      <c r="B206" s="131"/>
      <c r="C206" s="131"/>
      <c r="D206" s="131"/>
      <c r="E206" s="131"/>
      <c r="F206" s="131"/>
      <c r="G206" s="131"/>
      <c r="H206" s="131"/>
      <c r="I206" s="289"/>
      <c r="J206" s="131"/>
      <c r="K206" s="289"/>
      <c r="L206" s="289"/>
      <c r="M206" s="289"/>
      <c r="N206" s="289"/>
      <c r="O206" s="291"/>
      <c r="P206" s="119"/>
    </row>
    <row r="207" spans="1:16" ht="15" customHeight="1">
      <c r="A207" s="117"/>
      <c r="B207" s="131"/>
      <c r="C207" s="131"/>
      <c r="D207" s="131"/>
      <c r="E207" s="131"/>
      <c r="F207" s="131"/>
      <c r="G207" s="131"/>
      <c r="H207" s="131"/>
      <c r="I207" s="289"/>
      <c r="J207" s="131"/>
      <c r="K207" s="289"/>
      <c r="L207" s="289"/>
      <c r="M207" s="289"/>
      <c r="N207" s="289"/>
      <c r="O207" s="291"/>
      <c r="P207" s="119"/>
    </row>
    <row r="208" spans="1:16" ht="15" customHeight="1">
      <c r="A208" s="117"/>
      <c r="B208" s="131"/>
      <c r="C208" s="131"/>
      <c r="D208" s="131"/>
      <c r="E208" s="131"/>
      <c r="F208" s="131"/>
      <c r="G208" s="131"/>
      <c r="H208" s="131"/>
      <c r="I208" s="289"/>
      <c r="J208" s="131"/>
      <c r="K208" s="289"/>
      <c r="L208" s="289"/>
      <c r="M208" s="289"/>
      <c r="N208" s="289"/>
      <c r="O208" s="291"/>
      <c r="P208" s="119"/>
    </row>
    <row r="209" spans="1:16" ht="15" customHeight="1">
      <c r="A209" s="117"/>
      <c r="B209" s="131"/>
      <c r="C209" s="131"/>
      <c r="D209" s="131"/>
      <c r="E209" s="131"/>
      <c r="F209" s="131"/>
      <c r="G209" s="131"/>
      <c r="H209" s="131"/>
      <c r="I209" s="289"/>
      <c r="J209" s="131"/>
      <c r="K209" s="289"/>
      <c r="L209" s="289"/>
      <c r="M209" s="289"/>
      <c r="N209" s="289"/>
      <c r="O209" s="291"/>
      <c r="P209" s="119"/>
    </row>
    <row r="210" spans="1:16" ht="15" customHeight="1">
      <c r="A210" s="117"/>
      <c r="B210" s="131"/>
      <c r="C210" s="131"/>
      <c r="D210" s="131"/>
      <c r="E210" s="131"/>
      <c r="F210" s="131"/>
      <c r="G210" s="131"/>
      <c r="H210" s="131"/>
      <c r="I210" s="289"/>
      <c r="J210" s="131"/>
      <c r="K210" s="289"/>
      <c r="L210" s="289"/>
      <c r="M210" s="289"/>
      <c r="N210" s="289"/>
      <c r="O210" s="291"/>
      <c r="P210" s="119"/>
    </row>
    <row r="211" spans="1:16" ht="15" customHeight="1">
      <c r="A211" s="117"/>
      <c r="B211" s="131"/>
      <c r="C211" s="131"/>
      <c r="D211" s="131"/>
      <c r="E211" s="131"/>
      <c r="F211" s="131"/>
      <c r="G211" s="131"/>
      <c r="H211" s="131"/>
      <c r="I211" s="289"/>
      <c r="J211" s="131"/>
      <c r="K211" s="289"/>
      <c r="L211" s="289"/>
      <c r="M211" s="289"/>
      <c r="N211" s="289"/>
      <c r="O211" s="291"/>
      <c r="P211" s="119"/>
    </row>
    <row r="212" spans="1:16" ht="15" customHeight="1">
      <c r="A212" s="117"/>
      <c r="B212" s="131"/>
      <c r="C212" s="131"/>
      <c r="D212" s="131"/>
      <c r="E212" s="131"/>
      <c r="F212" s="131"/>
      <c r="G212" s="131"/>
      <c r="H212" s="131"/>
      <c r="I212" s="289"/>
      <c r="J212" s="131"/>
      <c r="K212" s="289"/>
      <c r="L212" s="289"/>
      <c r="M212" s="289"/>
      <c r="N212" s="289"/>
      <c r="O212" s="291"/>
      <c r="P212" s="119"/>
    </row>
    <row r="213" spans="1:16" ht="15" customHeight="1">
      <c r="A213" s="117"/>
      <c r="B213" s="131"/>
      <c r="C213" s="131"/>
      <c r="D213" s="131"/>
      <c r="E213" s="131"/>
      <c r="F213" s="131"/>
      <c r="G213" s="131"/>
      <c r="H213" s="131"/>
      <c r="I213" s="289"/>
      <c r="J213" s="131"/>
      <c r="K213" s="289"/>
      <c r="L213" s="289"/>
      <c r="M213" s="289"/>
      <c r="N213" s="289"/>
      <c r="O213" s="291"/>
      <c r="P213" s="119"/>
    </row>
    <row r="214" spans="1:16" ht="15" customHeight="1">
      <c r="A214" s="117"/>
      <c r="B214" s="131"/>
      <c r="C214" s="131"/>
      <c r="D214" s="131"/>
      <c r="E214" s="131"/>
      <c r="F214" s="131"/>
      <c r="G214" s="131"/>
      <c r="H214" s="131"/>
      <c r="I214" s="289"/>
      <c r="J214" s="131"/>
      <c r="K214" s="289"/>
      <c r="L214" s="289"/>
      <c r="M214" s="289"/>
      <c r="N214" s="289"/>
      <c r="O214" s="291"/>
      <c r="P214" s="119"/>
    </row>
    <row r="215" spans="1:16" ht="15" customHeight="1">
      <c r="A215" s="117"/>
      <c r="B215" s="131"/>
      <c r="C215" s="131"/>
      <c r="D215" s="131"/>
      <c r="E215" s="131"/>
      <c r="F215" s="131"/>
      <c r="G215" s="131"/>
      <c r="H215" s="131"/>
      <c r="I215" s="289"/>
      <c r="J215" s="131"/>
      <c r="K215" s="289"/>
      <c r="L215" s="289"/>
      <c r="M215" s="289"/>
      <c r="N215" s="289"/>
      <c r="O215" s="291"/>
      <c r="P215" s="119"/>
    </row>
    <row r="216" spans="1:16" ht="15" customHeight="1">
      <c r="A216" s="117"/>
      <c r="B216" s="131"/>
      <c r="C216" s="131"/>
      <c r="D216" s="131"/>
      <c r="E216" s="131"/>
      <c r="F216" s="131"/>
      <c r="G216" s="131"/>
      <c r="H216" s="131"/>
      <c r="I216" s="289"/>
      <c r="J216" s="131"/>
      <c r="K216" s="289"/>
      <c r="L216" s="289"/>
      <c r="M216" s="289"/>
      <c r="N216" s="289"/>
      <c r="O216" s="291"/>
      <c r="P216" s="119"/>
    </row>
    <row r="217" spans="1:16" ht="15" customHeight="1">
      <c r="A217" s="117"/>
      <c r="B217" s="131"/>
      <c r="C217" s="131"/>
      <c r="D217" s="131"/>
      <c r="E217" s="131"/>
      <c r="F217" s="131"/>
      <c r="G217" s="131"/>
      <c r="H217" s="131"/>
      <c r="I217" s="289"/>
      <c r="J217" s="131"/>
      <c r="K217" s="289"/>
      <c r="L217" s="289"/>
      <c r="M217" s="289"/>
      <c r="N217" s="289"/>
      <c r="O217" s="291"/>
      <c r="P217" s="119"/>
    </row>
    <row r="218" spans="1:16" ht="15" customHeight="1">
      <c r="A218" s="117"/>
      <c r="B218" s="131"/>
      <c r="C218" s="131"/>
      <c r="D218" s="131"/>
      <c r="E218" s="131"/>
      <c r="F218" s="131"/>
      <c r="G218" s="131"/>
      <c r="H218" s="131"/>
      <c r="I218" s="289"/>
      <c r="J218" s="131"/>
      <c r="K218" s="289"/>
      <c r="L218" s="289"/>
      <c r="M218" s="289"/>
      <c r="N218" s="289"/>
      <c r="O218" s="291"/>
      <c r="P218" s="119"/>
    </row>
    <row r="219" spans="1:16" ht="15" customHeight="1">
      <c r="A219" s="117"/>
      <c r="B219" s="131"/>
      <c r="C219" s="131"/>
      <c r="D219" s="131"/>
      <c r="E219" s="131"/>
      <c r="F219" s="131"/>
      <c r="G219" s="131"/>
      <c r="H219" s="131"/>
      <c r="I219" s="289"/>
      <c r="J219" s="131"/>
      <c r="K219" s="289"/>
      <c r="L219" s="289"/>
      <c r="M219" s="289"/>
      <c r="N219" s="289"/>
      <c r="O219" s="291"/>
      <c r="P219" s="119"/>
    </row>
    <row r="220" spans="1:16" ht="15" customHeight="1">
      <c r="A220" s="117"/>
      <c r="B220" s="131"/>
      <c r="C220" s="131"/>
      <c r="D220" s="131"/>
      <c r="E220" s="131"/>
      <c r="F220" s="131"/>
      <c r="G220" s="131"/>
      <c r="H220" s="131"/>
      <c r="I220" s="289"/>
      <c r="J220" s="131"/>
      <c r="K220" s="289"/>
      <c r="L220" s="289"/>
      <c r="M220" s="289"/>
      <c r="N220" s="289"/>
      <c r="O220" s="291"/>
      <c r="P220" s="119"/>
    </row>
    <row r="221" spans="1:16" ht="15" customHeight="1">
      <c r="A221" s="117"/>
      <c r="B221" s="131"/>
      <c r="C221" s="131"/>
      <c r="D221" s="131"/>
      <c r="E221" s="131"/>
      <c r="F221" s="131"/>
      <c r="G221" s="131"/>
      <c r="H221" s="131"/>
      <c r="I221" s="289"/>
      <c r="J221" s="131"/>
      <c r="K221" s="289"/>
      <c r="L221" s="289"/>
      <c r="M221" s="289"/>
      <c r="N221" s="289"/>
      <c r="O221" s="291"/>
      <c r="P221" s="119"/>
    </row>
    <row r="222" spans="1:16" ht="15" customHeight="1">
      <c r="A222" s="117"/>
      <c r="B222" s="131"/>
      <c r="C222" s="131"/>
      <c r="D222" s="131"/>
      <c r="E222" s="131"/>
      <c r="F222" s="131"/>
      <c r="G222" s="131"/>
      <c r="H222" s="131"/>
      <c r="I222" s="289"/>
      <c r="J222" s="131"/>
      <c r="K222" s="289"/>
      <c r="L222" s="289"/>
      <c r="M222" s="289"/>
      <c r="N222" s="289"/>
      <c r="O222" s="291"/>
      <c r="P222" s="119"/>
    </row>
    <row r="223" spans="1:16" ht="15" customHeight="1">
      <c r="A223" s="117"/>
      <c r="B223" s="131"/>
      <c r="C223" s="131"/>
      <c r="D223" s="131"/>
      <c r="E223" s="131"/>
      <c r="F223" s="131"/>
      <c r="G223" s="131"/>
      <c r="H223" s="131"/>
      <c r="I223" s="289"/>
      <c r="J223" s="131"/>
      <c r="K223" s="289"/>
      <c r="L223" s="289"/>
      <c r="M223" s="289"/>
      <c r="N223" s="289"/>
      <c r="O223" s="291"/>
      <c r="P223" s="119"/>
    </row>
    <row r="224" spans="1:16" ht="15" customHeight="1">
      <c r="A224" s="117"/>
      <c r="B224" s="131"/>
      <c r="C224" s="131"/>
      <c r="D224" s="131"/>
      <c r="E224" s="131"/>
      <c r="F224" s="131"/>
      <c r="G224" s="131"/>
      <c r="H224" s="131"/>
      <c r="I224" s="289"/>
      <c r="J224" s="131"/>
      <c r="K224" s="289"/>
      <c r="L224" s="289"/>
      <c r="M224" s="289"/>
      <c r="N224" s="289"/>
      <c r="O224" s="291"/>
      <c r="P224" s="119"/>
    </row>
    <row r="225" spans="1:16" ht="15" customHeight="1">
      <c r="A225" s="117"/>
      <c r="B225" s="131"/>
      <c r="C225" s="131"/>
      <c r="D225" s="131"/>
      <c r="E225" s="131"/>
      <c r="F225" s="131"/>
      <c r="G225" s="131"/>
      <c r="H225" s="131"/>
      <c r="I225" s="289"/>
      <c r="J225" s="131"/>
      <c r="K225" s="289"/>
      <c r="L225" s="289"/>
      <c r="M225" s="289"/>
      <c r="N225" s="289"/>
      <c r="O225" s="291"/>
      <c r="P225" s="119"/>
    </row>
    <row r="226" spans="1:16" ht="15" customHeight="1">
      <c r="A226" s="117"/>
      <c r="B226" s="131"/>
      <c r="C226" s="131"/>
      <c r="D226" s="131"/>
      <c r="E226" s="131"/>
      <c r="F226" s="131"/>
      <c r="G226" s="131"/>
      <c r="H226" s="131"/>
      <c r="I226" s="289"/>
      <c r="J226" s="131"/>
      <c r="K226" s="289"/>
      <c r="L226" s="289"/>
      <c r="M226" s="289"/>
      <c r="N226" s="289"/>
      <c r="O226" s="291"/>
      <c r="P226" s="119"/>
    </row>
    <row r="227" spans="1:16" ht="15" customHeight="1">
      <c r="A227" s="117"/>
      <c r="B227" s="131"/>
      <c r="C227" s="131"/>
      <c r="D227" s="131"/>
      <c r="E227" s="131"/>
      <c r="F227" s="131"/>
      <c r="G227" s="131"/>
      <c r="H227" s="131"/>
      <c r="I227" s="289"/>
      <c r="J227" s="131"/>
      <c r="K227" s="289"/>
      <c r="L227" s="289"/>
      <c r="M227" s="289"/>
      <c r="N227" s="289"/>
      <c r="O227" s="291"/>
      <c r="P227" s="119"/>
    </row>
    <row r="228" spans="1:16" ht="15" customHeight="1">
      <c r="A228" s="117"/>
      <c r="B228" s="131"/>
      <c r="C228" s="131"/>
      <c r="D228" s="131"/>
      <c r="E228" s="131"/>
      <c r="F228" s="131"/>
      <c r="G228" s="131"/>
      <c r="H228" s="131"/>
      <c r="I228" s="289"/>
      <c r="J228" s="131"/>
      <c r="K228" s="289"/>
      <c r="L228" s="289"/>
      <c r="M228" s="289"/>
      <c r="N228" s="289"/>
      <c r="O228" s="291"/>
      <c r="P228" s="119"/>
    </row>
    <row r="229" spans="1:16" ht="15" customHeight="1">
      <c r="A229" s="117"/>
      <c r="B229" s="131"/>
      <c r="C229" s="131"/>
      <c r="D229" s="131"/>
      <c r="E229" s="131"/>
      <c r="F229" s="131"/>
      <c r="G229" s="131"/>
      <c r="H229" s="131"/>
      <c r="I229" s="289"/>
      <c r="J229" s="131"/>
      <c r="K229" s="289"/>
      <c r="L229" s="289"/>
      <c r="M229" s="289"/>
      <c r="N229" s="289"/>
      <c r="O229" s="291"/>
      <c r="P229" s="119"/>
    </row>
    <row r="230" spans="1:16" ht="15" customHeight="1">
      <c r="A230" s="117"/>
      <c r="B230" s="131"/>
      <c r="C230" s="131"/>
      <c r="D230" s="131"/>
      <c r="E230" s="131"/>
      <c r="F230" s="131"/>
      <c r="G230" s="131"/>
      <c r="H230" s="131"/>
      <c r="I230" s="289"/>
      <c r="J230" s="131"/>
      <c r="K230" s="289"/>
      <c r="L230" s="289"/>
      <c r="M230" s="289"/>
      <c r="N230" s="289"/>
      <c r="O230" s="291"/>
      <c r="P230" s="119"/>
    </row>
    <row r="231" spans="1:16" ht="15" customHeight="1">
      <c r="A231" s="117"/>
      <c r="B231" s="131"/>
      <c r="C231" s="131"/>
      <c r="D231" s="131"/>
      <c r="E231" s="131"/>
      <c r="F231" s="131"/>
      <c r="G231" s="131"/>
      <c r="H231" s="131"/>
      <c r="I231" s="289"/>
      <c r="J231" s="131"/>
      <c r="K231" s="289"/>
      <c r="L231" s="289"/>
      <c r="M231" s="289"/>
      <c r="N231" s="289"/>
      <c r="O231" s="291"/>
      <c r="P231" s="119"/>
    </row>
    <row r="232" spans="1:16" ht="15" customHeight="1">
      <c r="A232" s="117"/>
      <c r="B232" s="131"/>
      <c r="C232" s="131"/>
      <c r="D232" s="131"/>
      <c r="E232" s="131"/>
      <c r="F232" s="131"/>
      <c r="G232" s="131"/>
      <c r="H232" s="131"/>
      <c r="I232" s="289"/>
      <c r="J232" s="131"/>
      <c r="K232" s="289"/>
      <c r="L232" s="289"/>
      <c r="M232" s="289"/>
      <c r="N232" s="289"/>
      <c r="O232" s="291"/>
      <c r="P232" s="119"/>
    </row>
    <row r="233" spans="1:16" ht="15" customHeight="1">
      <c r="A233" s="117"/>
      <c r="B233" s="131"/>
      <c r="C233" s="131"/>
      <c r="D233" s="131"/>
      <c r="E233" s="131"/>
      <c r="F233" s="131"/>
      <c r="G233" s="131"/>
      <c r="H233" s="131"/>
      <c r="I233" s="289"/>
      <c r="J233" s="131"/>
      <c r="K233" s="289"/>
      <c r="L233" s="289"/>
      <c r="M233" s="289"/>
      <c r="N233" s="289"/>
      <c r="O233" s="291"/>
      <c r="P233" s="119"/>
    </row>
    <row r="234" spans="1:16" ht="15" customHeight="1">
      <c r="A234" s="117"/>
      <c r="B234" s="131"/>
      <c r="C234" s="131"/>
      <c r="D234" s="131"/>
      <c r="E234" s="131"/>
      <c r="F234" s="131"/>
      <c r="G234" s="131"/>
      <c r="H234" s="131"/>
      <c r="I234" s="289"/>
      <c r="J234" s="131"/>
      <c r="K234" s="289"/>
      <c r="L234" s="289"/>
      <c r="M234" s="289"/>
      <c r="N234" s="289"/>
      <c r="O234" s="291"/>
      <c r="P234" s="119"/>
    </row>
    <row r="235" spans="1:16" ht="15" customHeight="1">
      <c r="A235" s="117"/>
      <c r="B235" s="131"/>
      <c r="C235" s="131"/>
      <c r="D235" s="131"/>
      <c r="E235" s="131"/>
      <c r="F235" s="131"/>
      <c r="G235" s="131"/>
      <c r="H235" s="131"/>
      <c r="I235" s="289"/>
      <c r="J235" s="131"/>
      <c r="K235" s="289"/>
      <c r="L235" s="289"/>
      <c r="M235" s="289"/>
      <c r="N235" s="289"/>
      <c r="O235" s="291"/>
      <c r="P235" s="119"/>
    </row>
    <row r="236" spans="1:16" ht="15" customHeight="1">
      <c r="A236" s="117"/>
      <c r="B236" s="131"/>
      <c r="C236" s="131"/>
      <c r="D236" s="131"/>
      <c r="E236" s="131"/>
      <c r="F236" s="131"/>
      <c r="G236" s="131"/>
      <c r="H236" s="131"/>
      <c r="I236" s="289"/>
      <c r="J236" s="131"/>
      <c r="K236" s="289"/>
      <c r="L236" s="289"/>
      <c r="M236" s="289"/>
      <c r="N236" s="289"/>
      <c r="O236" s="291"/>
      <c r="P236" s="119"/>
    </row>
    <row r="237" spans="1:16" ht="15" customHeight="1">
      <c r="A237" s="117"/>
      <c r="B237" s="131"/>
      <c r="C237" s="131"/>
      <c r="D237" s="131"/>
      <c r="E237" s="131"/>
      <c r="F237" s="131"/>
      <c r="G237" s="131"/>
      <c r="H237" s="131"/>
      <c r="I237" s="289"/>
      <c r="J237" s="131"/>
      <c r="K237" s="289"/>
      <c r="L237" s="289"/>
      <c r="M237" s="289"/>
      <c r="N237" s="289"/>
      <c r="O237" s="291"/>
      <c r="P237" s="119"/>
    </row>
    <row r="238" spans="1:16" ht="15" customHeight="1">
      <c r="A238" s="117"/>
      <c r="B238" s="131"/>
      <c r="C238" s="131"/>
      <c r="D238" s="131"/>
      <c r="E238" s="131"/>
      <c r="F238" s="131"/>
      <c r="G238" s="131"/>
      <c r="H238" s="131"/>
      <c r="I238" s="289"/>
      <c r="J238" s="131"/>
      <c r="K238" s="289"/>
      <c r="L238" s="289"/>
      <c r="M238" s="289"/>
      <c r="N238" s="289"/>
      <c r="O238" s="291"/>
      <c r="P238" s="119"/>
    </row>
    <row r="239" spans="1:16" ht="15" customHeight="1">
      <c r="A239" s="117"/>
      <c r="B239" s="131"/>
      <c r="C239" s="131"/>
      <c r="D239" s="131"/>
      <c r="E239" s="131"/>
      <c r="F239" s="131"/>
      <c r="G239" s="131"/>
      <c r="H239" s="131"/>
      <c r="I239" s="289"/>
      <c r="J239" s="131"/>
      <c r="K239" s="289"/>
      <c r="L239" s="289"/>
      <c r="M239" s="289"/>
      <c r="N239" s="289"/>
      <c r="O239" s="291"/>
      <c r="P239" s="119"/>
    </row>
    <row r="240" spans="1:16" ht="15" customHeight="1">
      <c r="A240" s="117"/>
      <c r="B240" s="131"/>
      <c r="C240" s="131"/>
      <c r="D240" s="131"/>
      <c r="E240" s="131"/>
      <c r="F240" s="131"/>
      <c r="G240" s="131"/>
      <c r="H240" s="131"/>
      <c r="I240" s="289"/>
      <c r="J240" s="131"/>
      <c r="K240" s="289"/>
      <c r="L240" s="289"/>
      <c r="M240" s="289"/>
      <c r="N240" s="289"/>
      <c r="O240" s="291"/>
      <c r="P240" s="119"/>
    </row>
    <row r="241" spans="1:16" ht="15" customHeight="1">
      <c r="A241" s="117"/>
      <c r="B241" s="131"/>
      <c r="C241" s="131"/>
      <c r="D241" s="131"/>
      <c r="E241" s="131"/>
      <c r="F241" s="131"/>
      <c r="G241" s="131"/>
      <c r="H241" s="131"/>
      <c r="I241" s="289"/>
      <c r="J241" s="131"/>
      <c r="K241" s="289"/>
      <c r="L241" s="289"/>
      <c r="M241" s="289"/>
      <c r="N241" s="289"/>
      <c r="O241" s="291"/>
      <c r="P241" s="119"/>
    </row>
    <row r="242" spans="1:16" ht="15" customHeight="1">
      <c r="A242" s="117"/>
      <c r="B242" s="131"/>
      <c r="C242" s="131"/>
      <c r="D242" s="131"/>
      <c r="E242" s="131"/>
      <c r="F242" s="131"/>
      <c r="G242" s="131"/>
      <c r="H242" s="131"/>
      <c r="I242" s="289"/>
      <c r="J242" s="131"/>
      <c r="K242" s="289"/>
      <c r="L242" s="289"/>
      <c r="M242" s="289"/>
      <c r="N242" s="289"/>
      <c r="O242" s="291"/>
      <c r="P242" s="119"/>
    </row>
    <row r="243" spans="1:16" ht="15" customHeight="1">
      <c r="A243" s="117"/>
      <c r="B243" s="131"/>
      <c r="C243" s="131"/>
      <c r="D243" s="131"/>
      <c r="E243" s="131"/>
      <c r="F243" s="131"/>
      <c r="G243" s="131"/>
      <c r="H243" s="131"/>
      <c r="I243" s="289"/>
      <c r="J243" s="131"/>
      <c r="K243" s="289"/>
      <c r="L243" s="289"/>
      <c r="M243" s="289"/>
      <c r="N243" s="289"/>
      <c r="O243" s="291"/>
      <c r="P243" s="119"/>
    </row>
    <row r="244" spans="1:16" ht="15" customHeight="1">
      <c r="A244" s="117"/>
      <c r="B244" s="131"/>
      <c r="C244" s="131"/>
      <c r="D244" s="131"/>
      <c r="E244" s="131"/>
      <c r="F244" s="131"/>
      <c r="G244" s="131"/>
      <c r="H244" s="131"/>
      <c r="I244" s="289"/>
      <c r="J244" s="131"/>
      <c r="K244" s="289"/>
      <c r="L244" s="289"/>
      <c r="M244" s="289"/>
      <c r="N244" s="289"/>
      <c r="O244" s="291"/>
      <c r="P244" s="119"/>
    </row>
    <row r="245" spans="1:16" ht="15" customHeight="1">
      <c r="A245" s="117"/>
      <c r="B245" s="131"/>
      <c r="C245" s="131"/>
      <c r="D245" s="131"/>
      <c r="E245" s="131"/>
      <c r="F245" s="131"/>
      <c r="G245" s="131"/>
      <c r="H245" s="131"/>
      <c r="I245" s="289"/>
      <c r="J245" s="131"/>
      <c r="K245" s="289"/>
      <c r="L245" s="289"/>
      <c r="M245" s="289"/>
      <c r="N245" s="289"/>
      <c r="O245" s="291"/>
      <c r="P245" s="119"/>
    </row>
    <row r="246" spans="1:16" ht="15" customHeight="1">
      <c r="A246" s="117"/>
      <c r="B246" s="131"/>
      <c r="C246" s="131"/>
      <c r="D246" s="131"/>
      <c r="E246" s="131"/>
      <c r="F246" s="131"/>
      <c r="G246" s="131"/>
      <c r="H246" s="131"/>
      <c r="I246" s="289"/>
      <c r="J246" s="131"/>
      <c r="K246" s="289"/>
      <c r="L246" s="289"/>
      <c r="M246" s="289"/>
      <c r="N246" s="289"/>
      <c r="O246" s="291"/>
      <c r="P246" s="119"/>
    </row>
    <row r="247" spans="1:16" ht="15" customHeight="1">
      <c r="A247" s="117"/>
      <c r="B247" s="131"/>
      <c r="C247" s="131"/>
      <c r="D247" s="131"/>
      <c r="E247" s="131"/>
      <c r="F247" s="131"/>
      <c r="G247" s="131"/>
      <c r="H247" s="131"/>
      <c r="I247" s="289"/>
      <c r="J247" s="131"/>
      <c r="K247" s="289"/>
      <c r="L247" s="289"/>
      <c r="M247" s="289"/>
      <c r="N247" s="289"/>
      <c r="O247" s="291"/>
      <c r="P247" s="119"/>
    </row>
    <row r="248" spans="1:16" ht="15" customHeight="1">
      <c r="A248" s="117"/>
      <c r="B248" s="131"/>
      <c r="C248" s="131"/>
      <c r="D248" s="131"/>
      <c r="E248" s="131"/>
      <c r="F248" s="131"/>
      <c r="G248" s="131"/>
      <c r="H248" s="131"/>
      <c r="I248" s="289"/>
      <c r="J248" s="131"/>
      <c r="K248" s="289"/>
      <c r="L248" s="289"/>
      <c r="M248" s="289"/>
      <c r="N248" s="289"/>
      <c r="O248" s="291"/>
      <c r="P248" s="119"/>
    </row>
    <row r="249" spans="1:16" ht="15" customHeight="1">
      <c r="A249" s="117"/>
      <c r="B249" s="131"/>
      <c r="C249" s="131"/>
      <c r="D249" s="131"/>
      <c r="E249" s="131"/>
      <c r="F249" s="131"/>
      <c r="G249" s="131"/>
      <c r="H249" s="131"/>
      <c r="I249" s="289"/>
      <c r="J249" s="131"/>
      <c r="K249" s="289"/>
      <c r="L249" s="289"/>
      <c r="M249" s="289"/>
      <c r="N249" s="289"/>
      <c r="O249" s="291"/>
      <c r="P249" s="119"/>
    </row>
    <row r="250" spans="1:16" ht="15" customHeight="1">
      <c r="A250" s="117"/>
      <c r="B250" s="131"/>
      <c r="C250" s="131"/>
      <c r="D250" s="131"/>
      <c r="E250" s="131"/>
      <c r="F250" s="131"/>
      <c r="G250" s="131"/>
      <c r="H250" s="131"/>
      <c r="I250" s="289"/>
      <c r="J250" s="131"/>
      <c r="K250" s="289"/>
      <c r="L250" s="289"/>
      <c r="M250" s="289"/>
      <c r="N250" s="289"/>
      <c r="O250" s="291"/>
      <c r="P250" s="119"/>
    </row>
    <row r="251" spans="1:16" ht="15" customHeight="1">
      <c r="A251" s="117"/>
      <c r="B251" s="131"/>
      <c r="C251" s="131"/>
      <c r="D251" s="131"/>
      <c r="E251" s="131"/>
      <c r="F251" s="131"/>
      <c r="G251" s="131"/>
      <c r="H251" s="131"/>
      <c r="I251" s="289"/>
      <c r="J251" s="131"/>
      <c r="K251" s="289"/>
      <c r="L251" s="289"/>
      <c r="M251" s="289"/>
      <c r="N251" s="289"/>
      <c r="O251" s="291"/>
      <c r="P251" s="119"/>
    </row>
    <row r="252" spans="1:16" ht="15" customHeight="1">
      <c r="A252" s="117"/>
      <c r="B252" s="131"/>
      <c r="C252" s="131"/>
      <c r="D252" s="131"/>
      <c r="E252" s="131"/>
      <c r="F252" s="131"/>
      <c r="G252" s="131"/>
      <c r="H252" s="131"/>
      <c r="I252" s="289"/>
      <c r="J252" s="131"/>
      <c r="K252" s="289"/>
      <c r="L252" s="289"/>
      <c r="M252" s="289"/>
      <c r="N252" s="289"/>
      <c r="O252" s="291"/>
      <c r="P252" s="119"/>
    </row>
    <row r="253" spans="1:16" ht="15" customHeight="1">
      <c r="A253" s="117"/>
      <c r="B253" s="131"/>
      <c r="C253" s="131"/>
      <c r="D253" s="131"/>
      <c r="E253" s="131"/>
      <c r="F253" s="131"/>
      <c r="G253" s="131"/>
      <c r="H253" s="131"/>
      <c r="I253" s="289"/>
      <c r="J253" s="131"/>
      <c r="K253" s="289"/>
      <c r="L253" s="289"/>
      <c r="M253" s="289"/>
      <c r="N253" s="289"/>
      <c r="O253" s="291"/>
      <c r="P253" s="119"/>
    </row>
    <row r="254" spans="1:16" ht="15" customHeight="1">
      <c r="A254" s="117"/>
      <c r="B254" s="131"/>
      <c r="C254" s="131"/>
      <c r="D254" s="131"/>
      <c r="E254" s="131"/>
      <c r="F254" s="131"/>
      <c r="G254" s="131"/>
      <c r="H254" s="131"/>
      <c r="I254" s="289"/>
      <c r="J254" s="131"/>
      <c r="K254" s="289"/>
      <c r="L254" s="289"/>
      <c r="M254" s="289"/>
      <c r="N254" s="289"/>
      <c r="O254" s="291"/>
      <c r="P254" s="119"/>
    </row>
    <row r="255" spans="1:16" ht="15" customHeight="1">
      <c r="A255" s="117"/>
      <c r="B255" s="131"/>
      <c r="C255" s="131"/>
      <c r="D255" s="131"/>
      <c r="E255" s="131"/>
      <c r="F255" s="131"/>
      <c r="G255" s="131"/>
      <c r="H255" s="131"/>
      <c r="I255" s="289"/>
      <c r="J255" s="131"/>
      <c r="K255" s="289"/>
      <c r="L255" s="289"/>
      <c r="M255" s="289"/>
      <c r="N255" s="289"/>
      <c r="O255" s="291"/>
      <c r="P255" s="119"/>
    </row>
    <row r="256" spans="1:16" ht="15" customHeight="1">
      <c r="A256" s="117"/>
      <c r="B256" s="131"/>
      <c r="C256" s="131"/>
      <c r="D256" s="131"/>
      <c r="E256" s="131"/>
      <c r="F256" s="131"/>
      <c r="G256" s="131"/>
      <c r="H256" s="131"/>
      <c r="I256" s="289"/>
      <c r="J256" s="131"/>
      <c r="K256" s="289"/>
      <c r="L256" s="289"/>
      <c r="M256" s="289"/>
      <c r="N256" s="289"/>
      <c r="O256" s="291"/>
      <c r="P256" s="119"/>
    </row>
    <row r="257" spans="1:16" ht="15" customHeight="1">
      <c r="A257" s="117"/>
      <c r="B257" s="131"/>
      <c r="C257" s="131"/>
      <c r="D257" s="131"/>
      <c r="E257" s="131"/>
      <c r="F257" s="131"/>
      <c r="G257" s="131"/>
      <c r="H257" s="131"/>
      <c r="I257" s="289"/>
      <c r="J257" s="131"/>
      <c r="K257" s="289"/>
      <c r="L257" s="289"/>
      <c r="M257" s="289"/>
      <c r="N257" s="289"/>
      <c r="O257" s="291"/>
      <c r="P257" s="119"/>
    </row>
    <row r="258" spans="1:16" ht="15" customHeight="1">
      <c r="A258" s="117"/>
      <c r="B258" s="131"/>
      <c r="C258" s="131"/>
      <c r="D258" s="131"/>
      <c r="E258" s="131"/>
      <c r="F258" s="131"/>
      <c r="G258" s="131"/>
      <c r="H258" s="131"/>
      <c r="I258" s="289"/>
      <c r="J258" s="131"/>
      <c r="K258" s="289"/>
      <c r="L258" s="289"/>
      <c r="M258" s="289"/>
      <c r="N258" s="289"/>
      <c r="O258" s="291"/>
      <c r="P258" s="119"/>
    </row>
    <row r="259" spans="1:16" ht="15" customHeight="1">
      <c r="A259" s="117"/>
      <c r="B259" s="131"/>
      <c r="C259" s="131"/>
      <c r="D259" s="131"/>
      <c r="E259" s="131"/>
      <c r="F259" s="131"/>
      <c r="G259" s="131"/>
      <c r="H259" s="131"/>
      <c r="I259" s="289"/>
      <c r="J259" s="131"/>
      <c r="K259" s="289"/>
      <c r="L259" s="289"/>
      <c r="M259" s="289"/>
      <c r="N259" s="289"/>
      <c r="O259" s="291"/>
      <c r="P259" s="119"/>
    </row>
    <row r="260" spans="1:16" ht="15" customHeight="1">
      <c r="A260" s="117"/>
      <c r="B260" s="131"/>
      <c r="C260" s="131"/>
      <c r="D260" s="131"/>
      <c r="E260" s="131"/>
      <c r="F260" s="131"/>
      <c r="G260" s="131"/>
      <c r="H260" s="131"/>
      <c r="I260" s="289"/>
      <c r="J260" s="131"/>
      <c r="K260" s="289"/>
      <c r="L260" s="289"/>
      <c r="M260" s="289"/>
      <c r="N260" s="289"/>
      <c r="O260" s="291"/>
      <c r="P260" s="119"/>
    </row>
    <row r="261" spans="1:16" ht="15" customHeight="1">
      <c r="A261" s="117"/>
      <c r="B261" s="131"/>
      <c r="C261" s="131"/>
      <c r="D261" s="131"/>
      <c r="E261" s="131"/>
      <c r="F261" s="131"/>
      <c r="G261" s="131"/>
      <c r="H261" s="131"/>
      <c r="I261" s="289"/>
      <c r="J261" s="131"/>
      <c r="K261" s="289"/>
      <c r="L261" s="289"/>
      <c r="M261" s="289"/>
      <c r="N261" s="289"/>
      <c r="O261" s="291"/>
      <c r="P261" s="119"/>
    </row>
    <row r="262" spans="1:16" ht="15" customHeight="1">
      <c r="A262" s="117"/>
      <c r="B262" s="131"/>
      <c r="C262" s="131"/>
      <c r="D262" s="131"/>
      <c r="E262" s="131"/>
      <c r="F262" s="131"/>
      <c r="G262" s="131"/>
      <c r="H262" s="131"/>
      <c r="I262" s="289"/>
      <c r="J262" s="131"/>
      <c r="K262" s="289"/>
      <c r="L262" s="289"/>
      <c r="M262" s="289"/>
      <c r="N262" s="289"/>
      <c r="O262" s="291"/>
      <c r="P262" s="119"/>
    </row>
    <row r="263" spans="1:16" ht="15" customHeight="1">
      <c r="A263" s="117"/>
      <c r="B263" s="131"/>
      <c r="C263" s="131"/>
      <c r="D263" s="131"/>
      <c r="E263" s="131"/>
      <c r="F263" s="131"/>
      <c r="G263" s="131"/>
      <c r="H263" s="131"/>
      <c r="I263" s="289"/>
      <c r="J263" s="131"/>
      <c r="K263" s="289"/>
      <c r="L263" s="289"/>
      <c r="M263" s="289"/>
      <c r="N263" s="289"/>
      <c r="O263" s="291"/>
      <c r="P263" s="119"/>
    </row>
    <row r="264" spans="1:16" ht="15" customHeight="1">
      <c r="A264" s="117"/>
      <c r="B264" s="131"/>
      <c r="C264" s="131"/>
      <c r="D264" s="131"/>
      <c r="E264" s="131"/>
      <c r="F264" s="131"/>
      <c r="G264" s="131"/>
      <c r="H264" s="131"/>
      <c r="I264" s="289"/>
      <c r="J264" s="131"/>
      <c r="K264" s="289"/>
      <c r="L264" s="289"/>
      <c r="M264" s="289"/>
      <c r="N264" s="289"/>
      <c r="O264" s="291"/>
      <c r="P264" s="119"/>
    </row>
    <row r="265" spans="1:16" ht="15" customHeight="1">
      <c r="A265" s="117"/>
      <c r="B265" s="131"/>
      <c r="C265" s="131"/>
      <c r="D265" s="131"/>
      <c r="E265" s="131"/>
      <c r="F265" s="131"/>
      <c r="G265" s="131"/>
      <c r="H265" s="131"/>
      <c r="I265" s="289"/>
      <c r="J265" s="131"/>
      <c r="K265" s="289"/>
      <c r="L265" s="289"/>
      <c r="M265" s="289"/>
      <c r="N265" s="289"/>
      <c r="O265" s="291"/>
      <c r="P265" s="119"/>
    </row>
    <row r="266" spans="1:16" ht="15" customHeight="1">
      <c r="A266" s="117"/>
      <c r="B266" s="131"/>
      <c r="C266" s="131"/>
      <c r="D266" s="131"/>
      <c r="E266" s="131"/>
      <c r="F266" s="131"/>
      <c r="G266" s="131"/>
      <c r="H266" s="131"/>
      <c r="I266" s="289"/>
      <c r="J266" s="131"/>
      <c r="K266" s="289"/>
      <c r="L266" s="289"/>
      <c r="M266" s="289"/>
      <c r="N266" s="289"/>
      <c r="O266" s="291"/>
      <c r="P266" s="119"/>
    </row>
    <row r="267" spans="1:16" ht="15" customHeight="1">
      <c r="A267" s="117"/>
      <c r="B267" s="131"/>
      <c r="C267" s="131"/>
      <c r="D267" s="131"/>
      <c r="E267" s="131"/>
      <c r="F267" s="131"/>
      <c r="G267" s="131"/>
      <c r="H267" s="131"/>
      <c r="I267" s="289"/>
      <c r="J267" s="131"/>
      <c r="K267" s="289"/>
      <c r="L267" s="289"/>
      <c r="M267" s="289"/>
      <c r="N267" s="289"/>
      <c r="O267" s="291"/>
      <c r="P267" s="119"/>
    </row>
    <row r="268" spans="1:16" ht="15" customHeight="1">
      <c r="A268" s="117"/>
      <c r="B268" s="131"/>
      <c r="C268" s="131"/>
      <c r="D268" s="131"/>
      <c r="E268" s="131"/>
      <c r="F268" s="131"/>
      <c r="G268" s="131"/>
      <c r="H268" s="131"/>
      <c r="I268" s="289"/>
      <c r="J268" s="131"/>
      <c r="K268" s="289"/>
      <c r="L268" s="289"/>
      <c r="M268" s="289"/>
      <c r="N268" s="289"/>
      <c r="O268" s="291"/>
      <c r="P268" s="119"/>
    </row>
    <row r="269" spans="1:16" ht="15" customHeight="1">
      <c r="A269" s="117"/>
      <c r="B269" s="131"/>
      <c r="C269" s="131"/>
      <c r="D269" s="131"/>
      <c r="E269" s="131"/>
      <c r="F269" s="131"/>
      <c r="G269" s="131"/>
      <c r="H269" s="131"/>
      <c r="I269" s="289"/>
      <c r="J269" s="131"/>
      <c r="K269" s="289"/>
      <c r="L269" s="289"/>
      <c r="M269" s="289"/>
      <c r="N269" s="289"/>
      <c r="O269" s="291"/>
      <c r="P269" s="119"/>
    </row>
    <row r="270" spans="1:16" ht="15" customHeight="1">
      <c r="A270" s="117"/>
      <c r="B270" s="131"/>
      <c r="C270" s="131"/>
      <c r="D270" s="131"/>
      <c r="E270" s="131"/>
      <c r="F270" s="131"/>
      <c r="G270" s="131"/>
      <c r="H270" s="131"/>
      <c r="I270" s="289"/>
      <c r="J270" s="131"/>
      <c r="K270" s="289"/>
      <c r="L270" s="289"/>
      <c r="M270" s="289"/>
      <c r="N270" s="289"/>
      <c r="O270" s="291"/>
      <c r="P270" s="119"/>
    </row>
    <row r="271" spans="1:16" ht="15" customHeight="1">
      <c r="A271" s="117"/>
      <c r="B271" s="131"/>
      <c r="C271" s="131"/>
      <c r="D271" s="131"/>
      <c r="E271" s="131"/>
      <c r="F271" s="131"/>
      <c r="G271" s="131"/>
      <c r="H271" s="131"/>
      <c r="I271" s="289"/>
      <c r="J271" s="131"/>
      <c r="K271" s="289"/>
      <c r="L271" s="289"/>
      <c r="M271" s="289"/>
      <c r="N271" s="289"/>
      <c r="O271" s="291"/>
      <c r="P271" s="119"/>
    </row>
    <row r="272" spans="1:16" ht="15" customHeight="1">
      <c r="A272" s="117"/>
      <c r="B272" s="131"/>
      <c r="C272" s="131"/>
      <c r="D272" s="131"/>
      <c r="E272" s="131"/>
      <c r="F272" s="131"/>
      <c r="G272" s="131"/>
      <c r="H272" s="131"/>
      <c r="I272" s="289"/>
      <c r="J272" s="131"/>
      <c r="K272" s="289"/>
      <c r="L272" s="289"/>
      <c r="M272" s="289"/>
      <c r="N272" s="289"/>
      <c r="O272" s="291"/>
      <c r="P272" s="119"/>
    </row>
    <row r="273" spans="1:16" ht="15" customHeight="1">
      <c r="A273" s="117"/>
      <c r="B273" s="131"/>
      <c r="C273" s="131"/>
      <c r="D273" s="131"/>
      <c r="E273" s="131"/>
      <c r="F273" s="131"/>
      <c r="G273" s="131"/>
      <c r="H273" s="131"/>
      <c r="I273" s="289"/>
      <c r="J273" s="131"/>
      <c r="K273" s="289"/>
      <c r="L273" s="289"/>
      <c r="M273" s="289"/>
      <c r="N273" s="289"/>
      <c r="O273" s="291"/>
      <c r="P273" s="119"/>
    </row>
    <row r="274" spans="1:16" ht="15" customHeight="1">
      <c r="A274" s="117"/>
      <c r="B274" s="131"/>
      <c r="C274" s="131"/>
      <c r="D274" s="131"/>
      <c r="E274" s="131"/>
      <c r="F274" s="131"/>
      <c r="G274" s="131"/>
      <c r="H274" s="131"/>
      <c r="I274" s="289"/>
      <c r="J274" s="131"/>
      <c r="K274" s="289"/>
      <c r="L274" s="289"/>
      <c r="M274" s="289"/>
      <c r="N274" s="289"/>
      <c r="O274" s="291"/>
      <c r="P274" s="119"/>
    </row>
    <row r="275" spans="1:16" ht="15" customHeight="1">
      <c r="A275" s="117"/>
      <c r="B275" s="131"/>
      <c r="C275" s="131"/>
      <c r="D275" s="131"/>
      <c r="E275" s="131"/>
      <c r="F275" s="131"/>
      <c r="G275" s="131"/>
      <c r="H275" s="131"/>
      <c r="I275" s="289"/>
      <c r="J275" s="131"/>
      <c r="K275" s="289"/>
      <c r="L275" s="289"/>
      <c r="M275" s="289"/>
      <c r="N275" s="289"/>
      <c r="O275" s="291"/>
      <c r="P275" s="119"/>
    </row>
    <row r="276" spans="1:16" ht="15" customHeight="1">
      <c r="A276" s="117"/>
      <c r="B276" s="131"/>
      <c r="C276" s="131"/>
      <c r="D276" s="131"/>
      <c r="E276" s="131"/>
      <c r="F276" s="131"/>
      <c r="G276" s="131"/>
      <c r="H276" s="131"/>
      <c r="I276" s="289"/>
      <c r="J276" s="131"/>
      <c r="K276" s="289"/>
      <c r="L276" s="289"/>
      <c r="M276" s="289"/>
      <c r="N276" s="289"/>
      <c r="O276" s="291"/>
      <c r="P276" s="119"/>
    </row>
    <row r="277" spans="1:16" ht="15" customHeight="1">
      <c r="A277" s="117"/>
      <c r="B277" s="131"/>
      <c r="C277" s="131"/>
      <c r="D277" s="131"/>
      <c r="E277" s="131"/>
      <c r="F277" s="131"/>
      <c r="G277" s="131"/>
      <c r="H277" s="131"/>
      <c r="I277" s="289"/>
      <c r="J277" s="131"/>
      <c r="K277" s="289"/>
      <c r="L277" s="289"/>
      <c r="M277" s="289"/>
      <c r="N277" s="289"/>
      <c r="O277" s="291"/>
      <c r="P277" s="119"/>
    </row>
    <row r="278" spans="1:16" ht="15" customHeight="1">
      <c r="A278" s="117"/>
      <c r="B278" s="131"/>
      <c r="C278" s="131"/>
      <c r="D278" s="131"/>
      <c r="E278" s="131"/>
      <c r="F278" s="131"/>
      <c r="G278" s="131"/>
      <c r="H278" s="131"/>
      <c r="I278" s="289"/>
      <c r="J278" s="131"/>
      <c r="K278" s="289"/>
      <c r="L278" s="289"/>
      <c r="M278" s="289"/>
      <c r="N278" s="289"/>
      <c r="O278" s="291"/>
      <c r="P278" s="119"/>
    </row>
    <row r="279" spans="1:16" ht="15" customHeight="1">
      <c r="A279" s="117"/>
      <c r="B279" s="131"/>
      <c r="C279" s="131"/>
      <c r="D279" s="131"/>
      <c r="E279" s="131"/>
      <c r="F279" s="131"/>
      <c r="G279" s="131"/>
      <c r="H279" s="131"/>
      <c r="I279" s="289"/>
      <c r="J279" s="131"/>
      <c r="K279" s="289"/>
      <c r="L279" s="289"/>
      <c r="M279" s="289"/>
      <c r="N279" s="289"/>
      <c r="O279" s="291"/>
      <c r="P279" s="119"/>
    </row>
    <row r="280" spans="1:16" ht="15" customHeight="1">
      <c r="A280" s="117"/>
      <c r="B280" s="131"/>
      <c r="C280" s="131"/>
      <c r="D280" s="131"/>
      <c r="E280" s="131"/>
      <c r="F280" s="131"/>
      <c r="G280" s="131"/>
      <c r="H280" s="131"/>
      <c r="I280" s="289"/>
      <c r="J280" s="131"/>
      <c r="K280" s="289"/>
      <c r="L280" s="289"/>
      <c r="M280" s="289"/>
      <c r="N280" s="289"/>
      <c r="O280" s="291"/>
      <c r="P280" s="119"/>
    </row>
    <row r="281" spans="1:16" ht="15" customHeight="1">
      <c r="A281" s="117"/>
      <c r="B281" s="131"/>
      <c r="C281" s="131"/>
      <c r="D281" s="131"/>
      <c r="E281" s="131"/>
      <c r="F281" s="131"/>
      <c r="G281" s="131"/>
      <c r="H281" s="131"/>
      <c r="I281" s="289"/>
      <c r="J281" s="131"/>
      <c r="K281" s="289"/>
      <c r="L281" s="289"/>
      <c r="M281" s="289"/>
      <c r="N281" s="289"/>
      <c r="O281" s="291"/>
      <c r="P281" s="119"/>
    </row>
  </sheetData>
  <sheetProtection/>
  <mergeCells count="183">
    <mergeCell ref="A23:H23"/>
    <mergeCell ref="A24:H24"/>
    <mergeCell ref="A28:H28"/>
    <mergeCell ref="A29:H29"/>
    <mergeCell ref="A18:H18"/>
    <mergeCell ref="A55:H55"/>
    <mergeCell ref="A19:H19"/>
    <mergeCell ref="A31:H31"/>
    <mergeCell ref="A47:H47"/>
    <mergeCell ref="A39:H39"/>
    <mergeCell ref="A56:H56"/>
    <mergeCell ref="A57:H57"/>
    <mergeCell ref="A32:H32"/>
    <mergeCell ref="A33:H33"/>
    <mergeCell ref="A34:H34"/>
    <mergeCell ref="A20:H20"/>
    <mergeCell ref="A21:H21"/>
    <mergeCell ref="A22:H22"/>
    <mergeCell ref="A27:H27"/>
    <mergeCell ref="A30:H30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8:H88"/>
    <mergeCell ref="A89:H89"/>
    <mergeCell ref="A90:H90"/>
    <mergeCell ref="A91:H91"/>
    <mergeCell ref="A85:H86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30:H130"/>
    <mergeCell ref="A112:H112"/>
    <mergeCell ref="A114:H114"/>
    <mergeCell ref="A126:H126"/>
    <mergeCell ref="A115:H115"/>
    <mergeCell ref="A116:H116"/>
    <mergeCell ref="A117:H117"/>
    <mergeCell ref="A118:H118"/>
    <mergeCell ref="A40:H40"/>
    <mergeCell ref="A41:H41"/>
    <mergeCell ref="A36:H36"/>
    <mergeCell ref="A37:H37"/>
    <mergeCell ref="A38:H38"/>
    <mergeCell ref="A48:H48"/>
    <mergeCell ref="A49:H49"/>
    <mergeCell ref="A50:H50"/>
    <mergeCell ref="A51:H51"/>
    <mergeCell ref="A52:H52"/>
    <mergeCell ref="A53:H53"/>
    <mergeCell ref="A134:H134"/>
    <mergeCell ref="A131:H131"/>
    <mergeCell ref="A132:H132"/>
    <mergeCell ref="A127:H127"/>
    <mergeCell ref="A128:H128"/>
    <mergeCell ref="A135:H135"/>
    <mergeCell ref="A136:H136"/>
    <mergeCell ref="A137:H137"/>
    <mergeCell ref="A138:H138"/>
    <mergeCell ref="A54:H54"/>
    <mergeCell ref="A87:H87"/>
    <mergeCell ref="A124:H124"/>
    <mergeCell ref="A125:H125"/>
    <mergeCell ref="A133:H133"/>
    <mergeCell ref="A129:H129"/>
    <mergeCell ref="A139:H139"/>
    <mergeCell ref="A140:H140"/>
    <mergeCell ref="A141:H141"/>
    <mergeCell ref="A142:H142"/>
    <mergeCell ref="A143:H143"/>
    <mergeCell ref="A144:H144"/>
    <mergeCell ref="A154:H155"/>
    <mergeCell ref="I154:I155"/>
    <mergeCell ref="J154:J155"/>
    <mergeCell ref="A145:H145"/>
    <mergeCell ref="A146:H146"/>
    <mergeCell ref="A147:H147"/>
    <mergeCell ref="A148:H148"/>
    <mergeCell ref="A149:H149"/>
    <mergeCell ref="A150:H150"/>
    <mergeCell ref="A161:H161"/>
    <mergeCell ref="A162:H162"/>
    <mergeCell ref="A163:H163"/>
    <mergeCell ref="A164:H164"/>
    <mergeCell ref="A156:H156"/>
    <mergeCell ref="A157:H157"/>
    <mergeCell ref="A158:H158"/>
    <mergeCell ref="L174:N174"/>
    <mergeCell ref="L175:N175"/>
    <mergeCell ref="D177:E177"/>
    <mergeCell ref="F177:J177"/>
    <mergeCell ref="A165:H165"/>
    <mergeCell ref="A166:H166"/>
    <mergeCell ref="A167:H167"/>
    <mergeCell ref="A168:H168"/>
    <mergeCell ref="A169:H169"/>
    <mergeCell ref="A4:M4"/>
    <mergeCell ref="A6:L6"/>
    <mergeCell ref="E8:L8"/>
    <mergeCell ref="E10:L10"/>
    <mergeCell ref="E12:L12"/>
    <mergeCell ref="A16:H17"/>
    <mergeCell ref="I16:I17"/>
    <mergeCell ref="J16:J17"/>
    <mergeCell ref="K16:K17"/>
    <mergeCell ref="L16:L17"/>
    <mergeCell ref="M16:M17"/>
    <mergeCell ref="N16:N17"/>
    <mergeCell ref="A42:H42"/>
    <mergeCell ref="A45:H46"/>
    <mergeCell ref="I45:I46"/>
    <mergeCell ref="J45:J46"/>
    <mergeCell ref="N45:N46"/>
    <mergeCell ref="A35:H35"/>
    <mergeCell ref="A25:H25"/>
    <mergeCell ref="A26:H26"/>
    <mergeCell ref="I85:I86"/>
    <mergeCell ref="J85:J86"/>
    <mergeCell ref="N85:N86"/>
    <mergeCell ref="A122:H123"/>
    <mergeCell ref="I122:I123"/>
    <mergeCell ref="J122:J123"/>
    <mergeCell ref="N122:N123"/>
    <mergeCell ref="A113:H113"/>
    <mergeCell ref="A110:H110"/>
    <mergeCell ref="A111:H111"/>
    <mergeCell ref="N154:N155"/>
    <mergeCell ref="B171:C171"/>
    <mergeCell ref="D171:F171"/>
    <mergeCell ref="H171:J171"/>
    <mergeCell ref="L171:M171"/>
    <mergeCell ref="B172:C172"/>
    <mergeCell ref="D172:F172"/>
    <mergeCell ref="L172:M172"/>
    <mergeCell ref="A159:H159"/>
    <mergeCell ref="A160:H160"/>
    <mergeCell ref="B181:D181"/>
    <mergeCell ref="E181:F181"/>
    <mergeCell ref="G181:J181"/>
    <mergeCell ref="L177:M177"/>
    <mergeCell ref="D178:E178"/>
    <mergeCell ref="F178:J178"/>
    <mergeCell ref="L178:M178"/>
    <mergeCell ref="B180:D180"/>
    <mergeCell ref="E180:F180"/>
    <mergeCell ref="G180:J180"/>
  </mergeCells>
  <printOptions/>
  <pageMargins left="0.5905511811023623" right="0.1968503937007874" top="0.5905511811023623" bottom="0.3937007874015748" header="0.1968503937007874" footer="0.1968503937007874"/>
  <pageSetup horizontalDpi="600" verticalDpi="600" orientation="portrait" paperSize="9" scale="7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9"/>
  <sheetViews>
    <sheetView zoomScalePageLayoutView="0" workbookViewId="0" topLeftCell="B103">
      <selection activeCell="C5" sqref="C5"/>
    </sheetView>
  </sheetViews>
  <sheetFormatPr defaultColWidth="9.00390625" defaultRowHeight="15.75"/>
  <cols>
    <col min="1" max="1" width="3.125" style="0" hidden="1" customWidth="1"/>
    <col min="2" max="2" width="5.25390625" style="0" customWidth="1"/>
    <col min="3" max="3" width="95.625" style="0" customWidth="1"/>
    <col min="4" max="4" width="15.625" style="0" hidden="1" customWidth="1"/>
    <col min="5" max="5" width="19.125" style="0" customWidth="1"/>
  </cols>
  <sheetData>
    <row r="1" spans="3:4" ht="15">
      <c r="C1" s="57" t="s">
        <v>846</v>
      </c>
      <c r="D1" s="11" t="s">
        <v>846</v>
      </c>
    </row>
    <row r="2" spans="2:5" ht="16.5" customHeight="1">
      <c r="B2" s="9" t="s">
        <v>138</v>
      </c>
      <c r="C2" s="602" t="s">
        <v>173</v>
      </c>
      <c r="D2" s="602"/>
      <c r="E2" s="26" t="s">
        <v>337</v>
      </c>
    </row>
    <row r="3" spans="2:5" ht="41.25" customHeight="1">
      <c r="B3" s="66" t="s">
        <v>544</v>
      </c>
      <c r="C3" s="600" t="s">
        <v>857</v>
      </c>
      <c r="D3" s="601"/>
      <c r="E3" s="27"/>
    </row>
    <row r="4" spans="2:5" ht="15">
      <c r="B4" s="33" t="s">
        <v>869</v>
      </c>
      <c r="C4" s="31" t="s">
        <v>351</v>
      </c>
      <c r="D4" s="1"/>
      <c r="E4" s="27"/>
    </row>
    <row r="5" spans="2:5" ht="15">
      <c r="B5" s="77"/>
      <c r="C5" s="77" t="s">
        <v>870</v>
      </c>
      <c r="D5" s="78"/>
      <c r="E5" s="79"/>
    </row>
    <row r="6" spans="2:5" ht="15">
      <c r="B6" s="80">
        <v>1</v>
      </c>
      <c r="C6" s="77" t="s">
        <v>871</v>
      </c>
      <c r="D6" s="78"/>
      <c r="E6" s="77" t="s">
        <v>338</v>
      </c>
    </row>
    <row r="7" spans="2:5" ht="27">
      <c r="B7" s="80">
        <v>2</v>
      </c>
      <c r="C7" s="77" t="s">
        <v>528</v>
      </c>
      <c r="D7" s="78"/>
      <c r="E7" s="77" t="s">
        <v>529</v>
      </c>
    </row>
    <row r="8" spans="2:5" ht="15">
      <c r="B8" s="80">
        <v>3</v>
      </c>
      <c r="C8" s="77" t="s">
        <v>872</v>
      </c>
      <c r="D8" s="78"/>
      <c r="E8" s="77" t="s">
        <v>338</v>
      </c>
    </row>
    <row r="9" spans="2:5" ht="15">
      <c r="B9" s="77"/>
      <c r="C9" s="77" t="s">
        <v>873</v>
      </c>
      <c r="D9" s="70"/>
      <c r="E9" s="77"/>
    </row>
    <row r="10" spans="2:5" ht="15">
      <c r="B10" s="80">
        <v>4</v>
      </c>
      <c r="C10" s="77" t="s">
        <v>874</v>
      </c>
      <c r="D10" s="70"/>
      <c r="E10" s="77" t="s">
        <v>338</v>
      </c>
    </row>
    <row r="11" spans="2:5" ht="15">
      <c r="B11" s="80">
        <v>5</v>
      </c>
      <c r="C11" s="77" t="s">
        <v>875</v>
      </c>
      <c r="D11" s="70"/>
      <c r="E11" s="77" t="s">
        <v>338</v>
      </c>
    </row>
    <row r="12" spans="2:5" ht="15">
      <c r="B12" s="80">
        <v>6</v>
      </c>
      <c r="C12" s="77" t="s">
        <v>876</v>
      </c>
      <c r="D12" s="70"/>
      <c r="E12" s="77" t="s">
        <v>338</v>
      </c>
    </row>
    <row r="13" spans="2:5" ht="15">
      <c r="B13" s="80">
        <v>7</v>
      </c>
      <c r="C13" s="77" t="s">
        <v>877</v>
      </c>
      <c r="D13" s="70"/>
      <c r="E13" s="77" t="s">
        <v>339</v>
      </c>
    </row>
    <row r="14" spans="2:5" ht="15">
      <c r="B14" s="80">
        <v>8</v>
      </c>
      <c r="C14" s="77" t="s">
        <v>530</v>
      </c>
      <c r="D14" s="70"/>
      <c r="E14" s="77" t="s">
        <v>340</v>
      </c>
    </row>
    <row r="15" spans="2:5" ht="66">
      <c r="B15" s="80">
        <v>9</v>
      </c>
      <c r="C15" s="77" t="s">
        <v>347</v>
      </c>
      <c r="D15" s="70"/>
      <c r="E15" s="77" t="s">
        <v>345</v>
      </c>
    </row>
    <row r="16" spans="2:5" ht="15">
      <c r="B16" s="77"/>
      <c r="C16" s="77" t="s">
        <v>878</v>
      </c>
      <c r="D16" s="70"/>
      <c r="E16" s="77"/>
    </row>
    <row r="17" spans="2:5" ht="15">
      <c r="B17" s="80">
        <v>10</v>
      </c>
      <c r="C17" s="77" t="s">
        <v>531</v>
      </c>
      <c r="D17" s="70"/>
      <c r="E17" s="77" t="s">
        <v>343</v>
      </c>
    </row>
    <row r="18" spans="2:5" ht="24.75" customHeight="1">
      <c r="B18" s="80">
        <v>11</v>
      </c>
      <c r="C18" s="77" t="s">
        <v>532</v>
      </c>
      <c r="D18" s="70"/>
      <c r="E18" s="77" t="s">
        <v>340</v>
      </c>
    </row>
    <row r="19" spans="2:5" ht="15">
      <c r="B19" s="80">
        <v>12</v>
      </c>
      <c r="C19" s="77" t="s">
        <v>879</v>
      </c>
      <c r="D19" s="70"/>
      <c r="E19" s="77" t="s">
        <v>533</v>
      </c>
    </row>
    <row r="20" spans="2:5" ht="15">
      <c r="B20" s="80">
        <v>13</v>
      </c>
      <c r="C20" s="77" t="s">
        <v>880</v>
      </c>
      <c r="D20" s="70"/>
      <c r="E20" s="77" t="s">
        <v>533</v>
      </c>
    </row>
    <row r="21" spans="2:5" ht="27" customHeight="1">
      <c r="B21" s="80">
        <v>14</v>
      </c>
      <c r="C21" s="77" t="s">
        <v>881</v>
      </c>
      <c r="D21" s="70"/>
      <c r="E21" s="77" t="s">
        <v>341</v>
      </c>
    </row>
    <row r="22" spans="2:5" ht="15">
      <c r="B22" s="80">
        <v>15</v>
      </c>
      <c r="C22" s="77" t="s">
        <v>882</v>
      </c>
      <c r="D22" s="70"/>
      <c r="E22" s="77" t="s">
        <v>342</v>
      </c>
    </row>
    <row r="23" spans="2:5" ht="15.75" customHeight="1">
      <c r="B23" s="80">
        <v>16</v>
      </c>
      <c r="C23" s="77" t="s">
        <v>883</v>
      </c>
      <c r="D23" s="70"/>
      <c r="E23" s="77" t="s">
        <v>340</v>
      </c>
    </row>
    <row r="24" spans="2:5" ht="16.5" customHeight="1">
      <c r="B24" s="80">
        <v>17</v>
      </c>
      <c r="C24" s="77" t="s">
        <v>884</v>
      </c>
      <c r="D24" s="70"/>
      <c r="E24" s="77" t="s">
        <v>340</v>
      </c>
    </row>
    <row r="25" spans="2:5" ht="15.75" customHeight="1">
      <c r="B25" s="80">
        <v>18</v>
      </c>
      <c r="C25" s="77" t="s">
        <v>885</v>
      </c>
      <c r="D25" s="70"/>
      <c r="E25" s="77" t="s">
        <v>340</v>
      </c>
    </row>
    <row r="26" spans="2:5" ht="27">
      <c r="B26" s="80">
        <v>19</v>
      </c>
      <c r="C26" s="77" t="s">
        <v>886</v>
      </c>
      <c r="D26" s="70"/>
      <c r="E26" s="77" t="s">
        <v>341</v>
      </c>
    </row>
    <row r="27" spans="2:5" ht="15">
      <c r="B27" s="80">
        <v>20</v>
      </c>
      <c r="C27" s="77" t="s">
        <v>887</v>
      </c>
      <c r="D27" s="70"/>
      <c r="E27" s="77" t="s">
        <v>342</v>
      </c>
    </row>
    <row r="28" spans="2:5" ht="15">
      <c r="B28" s="80">
        <v>21</v>
      </c>
      <c r="C28" s="77" t="s">
        <v>888</v>
      </c>
      <c r="D28" s="70"/>
      <c r="E28" s="77" t="s">
        <v>343</v>
      </c>
    </row>
    <row r="29" spans="2:5" ht="14.25" customHeight="1">
      <c r="B29" s="80">
        <v>22</v>
      </c>
      <c r="C29" s="77" t="s">
        <v>534</v>
      </c>
      <c r="D29" s="70"/>
      <c r="E29" s="77" t="s">
        <v>340</v>
      </c>
    </row>
    <row r="30" spans="2:5" ht="14.25" customHeight="1">
      <c r="B30" s="80">
        <v>23</v>
      </c>
      <c r="C30" s="77" t="s">
        <v>315</v>
      </c>
      <c r="D30" s="70"/>
      <c r="E30" s="77" t="s">
        <v>340</v>
      </c>
    </row>
    <row r="31" spans="2:5" ht="13.5" customHeight="1">
      <c r="B31" s="80">
        <v>24</v>
      </c>
      <c r="C31" s="77" t="s">
        <v>316</v>
      </c>
      <c r="D31" s="70"/>
      <c r="E31" s="77" t="s">
        <v>340</v>
      </c>
    </row>
    <row r="32" spans="2:5" ht="15">
      <c r="B32" s="80">
        <v>25</v>
      </c>
      <c r="C32" s="77" t="s">
        <v>535</v>
      </c>
      <c r="D32" s="70"/>
      <c r="E32" s="77" t="s">
        <v>342</v>
      </c>
    </row>
    <row r="33" spans="2:5" ht="15">
      <c r="B33" s="80">
        <v>26</v>
      </c>
      <c r="C33" s="77" t="s">
        <v>317</v>
      </c>
      <c r="D33" s="70"/>
      <c r="E33" s="77" t="s">
        <v>342</v>
      </c>
    </row>
    <row r="34" spans="2:5" ht="14.25" customHeight="1">
      <c r="B34" s="80">
        <v>27</v>
      </c>
      <c r="C34" s="77" t="s">
        <v>318</v>
      </c>
      <c r="D34" s="70"/>
      <c r="E34" s="77" t="s">
        <v>340</v>
      </c>
    </row>
    <row r="35" spans="2:5" ht="15">
      <c r="B35" s="80">
        <v>28</v>
      </c>
      <c r="C35" s="77" t="s">
        <v>319</v>
      </c>
      <c r="D35" s="70"/>
      <c r="E35" s="77" t="s">
        <v>344</v>
      </c>
    </row>
    <row r="36" spans="2:5" ht="15">
      <c r="B36" s="80">
        <v>29</v>
      </c>
      <c r="C36" s="77" t="s">
        <v>320</v>
      </c>
      <c r="D36" s="70"/>
      <c r="E36" s="77" t="s">
        <v>342</v>
      </c>
    </row>
    <row r="37" spans="2:5" ht="15">
      <c r="B37" s="80">
        <v>30</v>
      </c>
      <c r="C37" s="77" t="s">
        <v>321</v>
      </c>
      <c r="D37" s="70"/>
      <c r="E37" s="77" t="s">
        <v>342</v>
      </c>
    </row>
    <row r="38" spans="2:5" ht="15" customHeight="1">
      <c r="B38" s="80">
        <v>31</v>
      </c>
      <c r="C38" s="77" t="s">
        <v>322</v>
      </c>
      <c r="D38" s="70"/>
      <c r="E38" s="77" t="s">
        <v>342</v>
      </c>
    </row>
    <row r="39" spans="2:5" ht="15">
      <c r="B39" s="80">
        <v>32</v>
      </c>
      <c r="C39" s="77" t="s">
        <v>323</v>
      </c>
      <c r="D39" s="70"/>
      <c r="E39" s="77" t="s">
        <v>342</v>
      </c>
    </row>
    <row r="40" spans="2:5" ht="15">
      <c r="B40" s="80">
        <v>33</v>
      </c>
      <c r="C40" s="77" t="s">
        <v>536</v>
      </c>
      <c r="D40" s="70"/>
      <c r="E40" s="77" t="s">
        <v>340</v>
      </c>
    </row>
    <row r="41" spans="2:5" ht="14.25" customHeight="1">
      <c r="B41" s="80">
        <v>34</v>
      </c>
      <c r="C41" s="77" t="s">
        <v>324</v>
      </c>
      <c r="D41" s="70"/>
      <c r="E41" s="77" t="s">
        <v>340</v>
      </c>
    </row>
    <row r="42" spans="2:5" ht="13.5" customHeight="1">
      <c r="B42" s="80">
        <v>35</v>
      </c>
      <c r="C42" s="77" t="s">
        <v>325</v>
      </c>
      <c r="D42" s="70"/>
      <c r="E42" s="77" t="s">
        <v>342</v>
      </c>
    </row>
    <row r="43" spans="2:5" ht="14.25" customHeight="1">
      <c r="B43" s="80">
        <v>36</v>
      </c>
      <c r="C43" s="77" t="s">
        <v>326</v>
      </c>
      <c r="D43" s="70"/>
      <c r="E43" s="77" t="s">
        <v>340</v>
      </c>
    </row>
    <row r="44" spans="2:5" ht="16.5" customHeight="1">
      <c r="B44" s="80">
        <v>37</v>
      </c>
      <c r="C44" s="81" t="s">
        <v>327</v>
      </c>
      <c r="D44" s="70"/>
      <c r="E44" s="77" t="s">
        <v>340</v>
      </c>
    </row>
    <row r="45" spans="2:5" ht="14.25" customHeight="1">
      <c r="B45" s="80">
        <v>38</v>
      </c>
      <c r="C45" s="82" t="s">
        <v>537</v>
      </c>
      <c r="D45" s="70"/>
      <c r="E45" s="77" t="s">
        <v>342</v>
      </c>
    </row>
    <row r="46" spans="2:5" ht="14.25" customHeight="1">
      <c r="B46" s="80">
        <v>39</v>
      </c>
      <c r="C46" s="81" t="s">
        <v>538</v>
      </c>
      <c r="D46" s="70"/>
      <c r="E46" s="77" t="s">
        <v>342</v>
      </c>
    </row>
    <row r="47" spans="2:5" ht="15.75" customHeight="1">
      <c r="B47" s="80">
        <v>40</v>
      </c>
      <c r="C47" s="77" t="s">
        <v>328</v>
      </c>
      <c r="D47" s="70"/>
      <c r="E47" s="77" t="s">
        <v>340</v>
      </c>
    </row>
    <row r="48" spans="2:5" ht="15" customHeight="1">
      <c r="B48" s="80">
        <v>41</v>
      </c>
      <c r="C48" s="77" t="s">
        <v>329</v>
      </c>
      <c r="D48" s="70"/>
      <c r="E48" s="77" t="s">
        <v>340</v>
      </c>
    </row>
    <row r="49" spans="2:5" ht="15" customHeight="1">
      <c r="B49" s="80">
        <v>42</v>
      </c>
      <c r="C49" s="77" t="s">
        <v>330</v>
      </c>
      <c r="D49" s="70"/>
      <c r="E49" s="77" t="s">
        <v>340</v>
      </c>
    </row>
    <row r="50" spans="2:5" ht="16.5" customHeight="1">
      <c r="B50" s="80">
        <v>43</v>
      </c>
      <c r="C50" s="77" t="s">
        <v>331</v>
      </c>
      <c r="D50" s="70"/>
      <c r="E50" s="77" t="s">
        <v>340</v>
      </c>
    </row>
    <row r="51" spans="2:5" ht="15.75" customHeight="1">
      <c r="B51" s="80">
        <v>44</v>
      </c>
      <c r="C51" s="77" t="s">
        <v>539</v>
      </c>
      <c r="D51" s="70"/>
      <c r="E51" s="77" t="s">
        <v>340</v>
      </c>
    </row>
    <row r="52" spans="2:5" ht="15.75" customHeight="1">
      <c r="B52" s="80">
        <v>45</v>
      </c>
      <c r="C52" s="77" t="s">
        <v>332</v>
      </c>
      <c r="D52" s="70"/>
      <c r="E52" s="77" t="s">
        <v>340</v>
      </c>
    </row>
    <row r="53" spans="2:5" ht="17.25" customHeight="1">
      <c r="B53" s="80">
        <v>46</v>
      </c>
      <c r="C53" s="77" t="s">
        <v>333</v>
      </c>
      <c r="D53" s="70"/>
      <c r="E53" s="77" t="s">
        <v>340</v>
      </c>
    </row>
    <row r="54" spans="2:5" ht="15">
      <c r="B54" s="80">
        <v>47</v>
      </c>
      <c r="C54" s="77" t="s">
        <v>334</v>
      </c>
      <c r="D54" s="70"/>
      <c r="E54" s="77" t="s">
        <v>340</v>
      </c>
    </row>
    <row r="55" spans="2:5" ht="16.5" customHeight="1">
      <c r="B55" s="80">
        <v>48</v>
      </c>
      <c r="C55" s="77" t="s">
        <v>335</v>
      </c>
      <c r="D55" s="70"/>
      <c r="E55" s="77" t="s">
        <v>340</v>
      </c>
    </row>
    <row r="56" spans="2:5" ht="15" customHeight="1">
      <c r="B56" s="80">
        <v>49</v>
      </c>
      <c r="C56" s="77" t="s">
        <v>540</v>
      </c>
      <c r="D56" s="70"/>
      <c r="E56" s="77" t="s">
        <v>340</v>
      </c>
    </row>
    <row r="57" spans="2:5" ht="14.25" customHeight="1">
      <c r="B57" s="80">
        <v>50</v>
      </c>
      <c r="C57" s="77" t="s">
        <v>346</v>
      </c>
      <c r="D57" s="70"/>
      <c r="E57" s="77" t="s">
        <v>340</v>
      </c>
    </row>
    <row r="58" spans="2:5" ht="14.25" customHeight="1">
      <c r="B58" s="80">
        <v>51</v>
      </c>
      <c r="C58" s="77" t="s">
        <v>336</v>
      </c>
      <c r="D58" s="70"/>
      <c r="E58" s="77" t="s">
        <v>340</v>
      </c>
    </row>
    <row r="59" spans="2:5" ht="13.5" customHeight="1">
      <c r="B59" s="80">
        <v>52</v>
      </c>
      <c r="C59" s="77" t="s">
        <v>348</v>
      </c>
      <c r="D59" s="70"/>
      <c r="E59" s="77" t="s">
        <v>343</v>
      </c>
    </row>
    <row r="60" spans="2:5" ht="15" customHeight="1">
      <c r="B60" s="80">
        <v>53</v>
      </c>
      <c r="C60" s="77" t="s">
        <v>541</v>
      </c>
      <c r="D60" s="70"/>
      <c r="E60" s="77" t="s">
        <v>340</v>
      </c>
    </row>
    <row r="61" spans="2:5" ht="15">
      <c r="B61" s="80">
        <v>54</v>
      </c>
      <c r="C61" s="77" t="s">
        <v>349</v>
      </c>
      <c r="D61" s="70"/>
      <c r="E61" s="77" t="s">
        <v>342</v>
      </c>
    </row>
    <row r="62" spans="2:5" ht="15">
      <c r="B62" s="80">
        <v>55</v>
      </c>
      <c r="C62" s="83" t="s">
        <v>542</v>
      </c>
      <c r="D62" s="70"/>
      <c r="E62" s="77" t="s">
        <v>340</v>
      </c>
    </row>
    <row r="63" spans="2:5" ht="36" customHeight="1">
      <c r="B63" s="84">
        <v>56</v>
      </c>
      <c r="C63" s="84" t="s">
        <v>350</v>
      </c>
      <c r="D63" s="70"/>
      <c r="E63" s="77" t="s">
        <v>543</v>
      </c>
    </row>
    <row r="64" spans="2:5" ht="15">
      <c r="B64" s="53" t="s">
        <v>363</v>
      </c>
      <c r="C64" s="64" t="s">
        <v>352</v>
      </c>
      <c r="D64" s="70"/>
      <c r="E64" s="77"/>
    </row>
    <row r="65" spans="2:5" ht="15">
      <c r="B65" s="84">
        <v>1</v>
      </c>
      <c r="C65" s="84" t="s">
        <v>353</v>
      </c>
      <c r="D65" s="70"/>
      <c r="E65" s="69" t="s">
        <v>344</v>
      </c>
    </row>
    <row r="66" spans="2:5" ht="15">
      <c r="B66" s="84">
        <v>2</v>
      </c>
      <c r="C66" s="84" t="s">
        <v>354</v>
      </c>
      <c r="D66" s="70"/>
      <c r="E66" s="77" t="s">
        <v>340</v>
      </c>
    </row>
    <row r="67" spans="2:5" ht="15">
      <c r="B67" s="84">
        <v>3</v>
      </c>
      <c r="C67" s="84" t="s">
        <v>355</v>
      </c>
      <c r="D67" s="70"/>
      <c r="E67" s="69" t="s">
        <v>342</v>
      </c>
    </row>
    <row r="68" spans="2:5" ht="15">
      <c r="B68" s="84">
        <v>4</v>
      </c>
      <c r="C68" s="84" t="s">
        <v>356</v>
      </c>
      <c r="D68" s="70"/>
      <c r="E68" s="69" t="s">
        <v>342</v>
      </c>
    </row>
    <row r="69" spans="2:5" ht="15">
      <c r="B69" s="84">
        <v>5</v>
      </c>
      <c r="C69" s="84" t="s">
        <v>357</v>
      </c>
      <c r="D69" s="70"/>
      <c r="E69" s="77" t="s">
        <v>340</v>
      </c>
    </row>
    <row r="70" spans="2:5" ht="15">
      <c r="B70" s="84">
        <v>6</v>
      </c>
      <c r="C70" s="84" t="s">
        <v>358</v>
      </c>
      <c r="D70" s="70"/>
      <c r="E70" s="77" t="s">
        <v>340</v>
      </c>
    </row>
    <row r="71" spans="2:5" ht="15">
      <c r="B71" s="84">
        <v>7</v>
      </c>
      <c r="C71" s="84" t="s">
        <v>359</v>
      </c>
      <c r="D71" s="70"/>
      <c r="E71" s="77" t="s">
        <v>340</v>
      </c>
    </row>
    <row r="72" spans="2:5" ht="15">
      <c r="B72" s="84">
        <v>8</v>
      </c>
      <c r="C72" s="84" t="s">
        <v>360</v>
      </c>
      <c r="D72" s="70"/>
      <c r="E72" s="77" t="s">
        <v>340</v>
      </c>
    </row>
    <row r="73" spans="2:5" ht="15">
      <c r="B73" s="84">
        <v>9</v>
      </c>
      <c r="C73" s="84" t="s">
        <v>361</v>
      </c>
      <c r="D73" s="70"/>
      <c r="E73" s="77" t="s">
        <v>340</v>
      </c>
    </row>
    <row r="74" spans="2:5" ht="15">
      <c r="B74" s="84">
        <v>10</v>
      </c>
      <c r="C74" s="84" t="s">
        <v>362</v>
      </c>
      <c r="D74" s="70"/>
      <c r="E74" s="69" t="s">
        <v>342</v>
      </c>
    </row>
    <row r="75" spans="2:5" ht="15">
      <c r="B75" s="85"/>
      <c r="C75" s="85"/>
      <c r="D75" s="70"/>
      <c r="E75" s="86"/>
    </row>
    <row r="76" spans="2:5" ht="105" customHeight="1">
      <c r="B76" s="87" t="s">
        <v>545</v>
      </c>
      <c r="C76" s="603" t="s">
        <v>856</v>
      </c>
      <c r="D76" s="604"/>
      <c r="E76" s="605"/>
    </row>
    <row r="77" spans="2:5" ht="15">
      <c r="B77" s="88" t="s">
        <v>40</v>
      </c>
      <c r="C77" s="597" t="s">
        <v>858</v>
      </c>
      <c r="D77" s="598"/>
      <c r="E77" s="599"/>
    </row>
    <row r="78" spans="2:5" ht="39.75" customHeight="1">
      <c r="B78" s="88"/>
      <c r="C78" s="582" t="s">
        <v>365</v>
      </c>
      <c r="D78" s="583"/>
      <c r="E78" s="584"/>
    </row>
    <row r="79" spans="2:5" ht="26.25" customHeight="1">
      <c r="B79" s="88"/>
      <c r="C79" s="582" t="s">
        <v>546</v>
      </c>
      <c r="D79" s="583"/>
      <c r="E79" s="584"/>
    </row>
    <row r="80" spans="2:5" ht="15">
      <c r="B80" s="88"/>
      <c r="C80" s="594" t="s">
        <v>364</v>
      </c>
      <c r="D80" s="595"/>
      <c r="E80" s="596"/>
    </row>
    <row r="81" spans="2:5" ht="25.5" customHeight="1">
      <c r="B81" s="88" t="s">
        <v>366</v>
      </c>
      <c r="C81" s="603" t="s">
        <v>859</v>
      </c>
      <c r="D81" s="604"/>
      <c r="E81" s="605"/>
    </row>
    <row r="82" spans="2:5" ht="15">
      <c r="B82" s="88"/>
      <c r="C82" s="594" t="s">
        <v>367</v>
      </c>
      <c r="D82" s="595"/>
      <c r="E82" s="596"/>
    </row>
    <row r="83" spans="2:5" ht="15">
      <c r="B83" s="88" t="s">
        <v>368</v>
      </c>
      <c r="C83" s="89" t="s">
        <v>860</v>
      </c>
      <c r="D83" s="90"/>
      <c r="E83" s="91"/>
    </row>
    <row r="84" spans="2:5" ht="26.25" customHeight="1">
      <c r="B84" s="88"/>
      <c r="C84" s="582" t="s">
        <v>861</v>
      </c>
      <c r="D84" s="583"/>
      <c r="E84" s="584"/>
    </row>
    <row r="85" spans="2:5" ht="15">
      <c r="B85" s="88" t="s">
        <v>369</v>
      </c>
      <c r="C85" s="594" t="s">
        <v>862</v>
      </c>
      <c r="D85" s="595"/>
      <c r="E85" s="596"/>
    </row>
    <row r="86" spans="2:5" ht="15">
      <c r="B86" s="88"/>
      <c r="C86" s="594" t="s">
        <v>863</v>
      </c>
      <c r="D86" s="595"/>
      <c r="E86" s="596"/>
    </row>
    <row r="87" spans="2:5" ht="15">
      <c r="B87" s="88" t="s">
        <v>370</v>
      </c>
      <c r="C87" s="594" t="s">
        <v>864</v>
      </c>
      <c r="D87" s="595"/>
      <c r="E87" s="596"/>
    </row>
    <row r="88" spans="2:5" ht="15">
      <c r="B88" s="84"/>
      <c r="C88" s="594" t="s">
        <v>371</v>
      </c>
      <c r="D88" s="595"/>
      <c r="E88" s="596"/>
    </row>
    <row r="89" spans="2:5" ht="15">
      <c r="B89" s="84"/>
      <c r="C89" s="597" t="s">
        <v>372</v>
      </c>
      <c r="D89" s="598"/>
      <c r="E89" s="599"/>
    </row>
    <row r="90" spans="2:5" ht="15">
      <c r="B90" s="84"/>
      <c r="C90" s="594" t="s">
        <v>865</v>
      </c>
      <c r="D90" s="595"/>
      <c r="E90" s="596"/>
    </row>
    <row r="91" spans="2:5" ht="26.25" customHeight="1">
      <c r="B91" s="84"/>
      <c r="C91" s="582" t="s">
        <v>547</v>
      </c>
      <c r="D91" s="583"/>
      <c r="E91" s="584"/>
    </row>
    <row r="92" spans="2:5" ht="26.25" customHeight="1">
      <c r="B92" s="85"/>
      <c r="C92" s="588" t="s">
        <v>373</v>
      </c>
      <c r="D92" s="589"/>
      <c r="E92" s="590"/>
    </row>
    <row r="93" spans="2:5" ht="15.75" customHeight="1">
      <c r="B93" s="85"/>
      <c r="C93" s="582" t="s">
        <v>374</v>
      </c>
      <c r="D93" s="583"/>
      <c r="E93" s="584"/>
    </row>
    <row r="94" spans="2:5" ht="39" customHeight="1">
      <c r="B94" s="92"/>
      <c r="C94" s="591" t="s">
        <v>375</v>
      </c>
      <c r="D94" s="592"/>
      <c r="E94" s="593"/>
    </row>
    <row r="95" spans="2:5" ht="54" customHeight="1">
      <c r="B95" s="93"/>
      <c r="C95" s="582" t="s">
        <v>376</v>
      </c>
      <c r="D95" s="583"/>
      <c r="E95" s="584"/>
    </row>
    <row r="96" spans="2:5" ht="27" customHeight="1">
      <c r="B96" s="93"/>
      <c r="C96" s="582" t="s">
        <v>866</v>
      </c>
      <c r="D96" s="583"/>
      <c r="E96" s="584"/>
    </row>
    <row r="97" spans="2:5" ht="25.5" customHeight="1">
      <c r="B97" s="93"/>
      <c r="C97" s="582" t="s">
        <v>867</v>
      </c>
      <c r="D97" s="583"/>
      <c r="E97" s="584"/>
    </row>
    <row r="98" spans="2:5" ht="15.75" customHeight="1">
      <c r="B98" s="93"/>
      <c r="C98" s="585" t="s">
        <v>377</v>
      </c>
      <c r="D98" s="586"/>
      <c r="E98" s="587"/>
    </row>
    <row r="99" spans="2:5" ht="26.25" customHeight="1">
      <c r="B99" s="93"/>
      <c r="C99" s="582" t="s">
        <v>378</v>
      </c>
      <c r="D99" s="583"/>
      <c r="E99" s="584"/>
    </row>
    <row r="100" spans="2:5" ht="25.5" customHeight="1">
      <c r="B100" s="93"/>
      <c r="C100" s="582" t="s">
        <v>116</v>
      </c>
      <c r="D100" s="583"/>
      <c r="E100" s="584"/>
    </row>
    <row r="101" spans="2:5" ht="38.25" customHeight="1">
      <c r="B101" s="94"/>
      <c r="C101" s="576" t="s">
        <v>117</v>
      </c>
      <c r="D101" s="577"/>
      <c r="E101" s="578"/>
    </row>
    <row r="102" spans="2:5" ht="27.75" customHeight="1">
      <c r="B102" s="86"/>
      <c r="C102" s="576" t="s">
        <v>379</v>
      </c>
      <c r="D102" s="577"/>
      <c r="E102" s="578"/>
    </row>
    <row r="103" spans="2:5" ht="39" customHeight="1">
      <c r="B103" s="86"/>
      <c r="C103" s="576" t="s">
        <v>125</v>
      </c>
      <c r="D103" s="577"/>
      <c r="E103" s="578"/>
    </row>
    <row r="104" spans="2:5" ht="15">
      <c r="B104" s="86"/>
      <c r="C104" s="579" t="s">
        <v>118</v>
      </c>
      <c r="D104" s="580"/>
      <c r="E104" s="581"/>
    </row>
    <row r="105" spans="2:5" ht="16.5" customHeight="1">
      <c r="B105" s="86"/>
      <c r="C105" s="576" t="s">
        <v>126</v>
      </c>
      <c r="D105" s="577"/>
      <c r="E105" s="578"/>
    </row>
    <row r="106" spans="2:5" ht="26.25" customHeight="1">
      <c r="B106" s="93"/>
      <c r="C106" s="576" t="s">
        <v>127</v>
      </c>
      <c r="D106" s="577"/>
      <c r="E106" s="578"/>
    </row>
    <row r="107" spans="2:5" ht="15" customHeight="1">
      <c r="B107" s="93"/>
      <c r="C107" s="576" t="s">
        <v>128</v>
      </c>
      <c r="D107" s="577"/>
      <c r="E107" s="578"/>
    </row>
    <row r="108" spans="2:5" ht="26.25" customHeight="1">
      <c r="B108" s="93"/>
      <c r="C108" s="576" t="s">
        <v>129</v>
      </c>
      <c r="D108" s="577"/>
      <c r="E108" s="578"/>
    </row>
    <row r="109" spans="2:5" ht="15">
      <c r="B109" s="93"/>
      <c r="C109" s="576" t="s">
        <v>868</v>
      </c>
      <c r="D109" s="577"/>
      <c r="E109" s="578"/>
    </row>
    <row r="110" spans="2:5" ht="26.25" customHeight="1">
      <c r="B110" s="93"/>
      <c r="C110" s="576" t="s">
        <v>130</v>
      </c>
      <c r="D110" s="577"/>
      <c r="E110" s="578"/>
    </row>
    <row r="111" spans="2:5" ht="15">
      <c r="B111" s="93"/>
      <c r="C111" s="576" t="s">
        <v>131</v>
      </c>
      <c r="D111" s="577"/>
      <c r="E111" s="578"/>
    </row>
    <row r="112" spans="2:5" ht="28.5" customHeight="1">
      <c r="B112" s="93"/>
      <c r="C112" s="576" t="s">
        <v>132</v>
      </c>
      <c r="D112" s="577"/>
      <c r="E112" s="578"/>
    </row>
    <row r="113" spans="2:3" ht="15">
      <c r="B113" s="29"/>
      <c r="C113" s="30"/>
    </row>
    <row r="114" spans="2:3" ht="15">
      <c r="B114" s="29"/>
      <c r="C114" s="30"/>
    </row>
    <row r="115" spans="2:3" ht="15">
      <c r="B115" s="29"/>
      <c r="C115" s="30"/>
    </row>
    <row r="116" spans="2:3" ht="15">
      <c r="B116" s="29"/>
      <c r="C116" s="30"/>
    </row>
    <row r="117" spans="2:3" ht="15">
      <c r="B117" s="29"/>
      <c r="C117" s="30"/>
    </row>
    <row r="118" spans="2:3" ht="15">
      <c r="B118" s="29"/>
      <c r="C118" s="30"/>
    </row>
    <row r="119" spans="2:3" ht="15">
      <c r="B119" s="29"/>
      <c r="C119" s="30"/>
    </row>
  </sheetData>
  <sheetProtection/>
  <mergeCells count="38">
    <mergeCell ref="C84:E84"/>
    <mergeCell ref="C3:D3"/>
    <mergeCell ref="C2:D2"/>
    <mergeCell ref="C77:E77"/>
    <mergeCell ref="C81:E81"/>
    <mergeCell ref="C76:E76"/>
    <mergeCell ref="C82:E82"/>
    <mergeCell ref="C78:E78"/>
    <mergeCell ref="C79:E79"/>
    <mergeCell ref="C80:E80"/>
    <mergeCell ref="C85:E85"/>
    <mergeCell ref="C87:E87"/>
    <mergeCell ref="C88:E88"/>
    <mergeCell ref="C86:E86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9:E109"/>
    <mergeCell ref="C110:E110"/>
    <mergeCell ref="C111:E111"/>
    <mergeCell ref="C112:E112"/>
    <mergeCell ref="C103:E103"/>
    <mergeCell ref="C104:E104"/>
    <mergeCell ref="C105:E105"/>
    <mergeCell ref="C106:E106"/>
    <mergeCell ref="C107:E107"/>
    <mergeCell ref="C108:E108"/>
  </mergeCells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"/>
  <sheetViews>
    <sheetView zoomScalePageLayoutView="0" workbookViewId="0" topLeftCell="A1">
      <selection activeCell="B10" sqref="B10"/>
    </sheetView>
  </sheetViews>
  <sheetFormatPr defaultColWidth="9.00390625" defaultRowHeight="15.75"/>
  <cols>
    <col min="1" max="1" width="3.50390625" style="0" customWidth="1"/>
    <col min="2" max="2" width="103.125" style="0" customWidth="1"/>
    <col min="10" max="10" width="31.50390625" style="0" customWidth="1"/>
  </cols>
  <sheetData>
    <row r="1" ht="15">
      <c r="B1" s="20" t="s">
        <v>847</v>
      </c>
    </row>
    <row r="3" spans="2:10" ht="75.75" customHeight="1">
      <c r="B3" s="41" t="s">
        <v>174</v>
      </c>
      <c r="C3" s="4"/>
      <c r="D3" s="4"/>
      <c r="E3" s="4"/>
      <c r="F3" s="4"/>
      <c r="G3" s="4"/>
      <c r="H3" s="4"/>
      <c r="I3" s="4"/>
      <c r="J3" s="4"/>
    </row>
    <row r="4" ht="27">
      <c r="B4" s="95" t="s">
        <v>41</v>
      </c>
    </row>
  </sheetData>
  <sheetProtection/>
  <printOptions/>
  <pageMargins left="0.9055118110236221" right="0.5118110236220472" top="0.5511811023622047" bottom="0.551181102362204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Ums#Econom#1</cp:lastModifiedBy>
  <cp:lastPrinted>2014-02-14T11:36:58Z</cp:lastPrinted>
  <dcterms:created xsi:type="dcterms:W3CDTF">2012-02-01T11:43:08Z</dcterms:created>
  <dcterms:modified xsi:type="dcterms:W3CDTF">2014-02-17T07:46:56Z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